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70" activeTab="0"/>
  </bookViews>
  <sheets>
    <sheet name="Beräkningsmall" sheetId="1" r:id="rId1"/>
    <sheet name="Cp-värde" sheetId="2" r:id="rId2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Ingemar Olofsson</author>
  </authors>
  <commentList>
    <comment ref="D13" authorId="0">
      <text>
        <r>
          <rPr>
            <b/>
            <sz val="8"/>
            <rFont val="Tahoma"/>
            <family val="2"/>
          </rPr>
          <t>Ingemar Olofsson:</t>
        </r>
        <r>
          <rPr>
            <sz val="8"/>
            <rFont val="Tahoma"/>
            <family val="2"/>
          </rPr>
          <t xml:space="preserve">
Fukthalten (F) = fukt/(fukt + torrt)
Torrhalten (D) = torrt/(fukt + torrt)</t>
        </r>
      </text>
    </comment>
    <comment ref="D14" authorId="0">
      <text>
        <r>
          <rPr>
            <b/>
            <sz val="8"/>
            <rFont val="Tahoma"/>
            <family val="2"/>
          </rPr>
          <t>Ingemar Olofsson:</t>
        </r>
        <r>
          <rPr>
            <sz val="8"/>
            <rFont val="Tahoma"/>
            <family val="2"/>
          </rPr>
          <t xml:space="preserve">
fukt = F*torrt/(1-F)</t>
        </r>
      </text>
    </comment>
    <comment ref="B14" authorId="0">
      <text>
        <r>
          <rPr>
            <b/>
            <sz val="8"/>
            <rFont val="Tahoma"/>
            <family val="2"/>
          </rPr>
          <t>Ingemar Olofsson:</t>
        </r>
        <r>
          <rPr>
            <sz val="8"/>
            <rFont val="Tahoma"/>
            <family val="2"/>
          </rPr>
          <t xml:space="preserve">
Fuktkvoten (U) = fukt/torrt</t>
        </r>
      </text>
    </comment>
  </commentList>
</comments>
</file>

<file path=xl/sharedStrings.xml><?xml version="1.0" encoding="utf-8"?>
<sst xmlns="http://schemas.openxmlformats.org/spreadsheetml/2006/main" count="102" uniqueCount="74">
  <si>
    <t>Ämne</t>
  </si>
  <si>
    <t>Molvikt</t>
  </si>
  <si>
    <t>Analys</t>
  </si>
  <si>
    <t>Antal</t>
  </si>
  <si>
    <t xml:space="preserve">Syrebehov </t>
  </si>
  <si>
    <t>Rökgaser (mol/kg bränsle)</t>
  </si>
  <si>
    <t>g</t>
  </si>
  <si>
    <t>mol</t>
  </si>
  <si>
    <t>Ar</t>
  </si>
  <si>
    <t>C</t>
  </si>
  <si>
    <t>S</t>
  </si>
  <si>
    <t>Aska</t>
  </si>
  <si>
    <t>Totalt bränsle</t>
  </si>
  <si>
    <t xml:space="preserve">Fukt i luft Φ </t>
  </si>
  <si>
    <t>Torrt luftöverskott</t>
  </si>
  <si>
    <t>Fukt i luftöverskott</t>
  </si>
  <si>
    <t>Halt på torr gas</t>
  </si>
  <si>
    <t>Halt på totala gaser</t>
  </si>
  <si>
    <t>Luftfaktor, m</t>
  </si>
  <si>
    <t>K</t>
  </si>
  <si>
    <t>Koefficient</t>
  </si>
  <si>
    <t>Luft</t>
  </si>
  <si>
    <t>Råkväve</t>
  </si>
  <si>
    <t>ac</t>
  </si>
  <si>
    <t>U</t>
  </si>
  <si>
    <t>J/(mol,K)</t>
  </si>
  <si>
    <r>
      <t>Stökiometriskt luftbehov, l</t>
    </r>
    <r>
      <rPr>
        <vertAlign val="subscript"/>
        <sz val="10"/>
        <rFont val="Arial"/>
        <family val="2"/>
      </rPr>
      <t>oTS</t>
    </r>
  </si>
  <si>
    <r>
      <t>Totala stökiometriska rökgaser för TS, g</t>
    </r>
    <r>
      <rPr>
        <vertAlign val="subscript"/>
        <sz val="10"/>
        <rFont val="Arial"/>
        <family val="2"/>
      </rPr>
      <t>oTS</t>
    </r>
  </si>
  <si>
    <t>--</t>
  </si>
  <si>
    <t>Råkväve i luft (3,77*syrebehovet)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</si>
  <si>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</si>
  <si>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CO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</si>
  <si>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2</t>
    </r>
  </si>
  <si>
    <r>
      <t>SO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</si>
  <si>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vertAlign val="subscript"/>
        <sz val="10"/>
        <rFont val="Arial"/>
        <family val="2"/>
      </rPr>
      <t>2</t>
    </r>
  </si>
  <si>
    <r>
      <t>H</t>
    </r>
    <r>
      <rPr>
        <b/>
        <vertAlign val="subscript"/>
        <sz val="10"/>
        <rFont val="Arial"/>
        <family val="2"/>
      </rPr>
      <t>2</t>
    </r>
  </si>
  <si>
    <t>Halter</t>
  </si>
  <si>
    <r>
      <t>Vattenånga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0</t>
    </r>
  </si>
  <si>
    <r>
      <t>Koldioxid, CO</t>
    </r>
    <r>
      <rPr>
        <b/>
        <vertAlign val="subscript"/>
        <sz val="10"/>
        <rFont val="Arial"/>
        <family val="2"/>
      </rPr>
      <t>2</t>
    </r>
  </si>
  <si>
    <r>
      <t>Kväve, N</t>
    </r>
    <r>
      <rPr>
        <b/>
        <vertAlign val="subscript"/>
        <sz val="10"/>
        <rFont val="Arial"/>
        <family val="2"/>
      </rPr>
      <t>2</t>
    </r>
  </si>
  <si>
    <r>
      <t>Syre, 0</t>
    </r>
    <r>
      <rPr>
        <b/>
        <vertAlign val="subscript"/>
        <sz val="10"/>
        <rFont val="Arial"/>
        <family val="2"/>
      </rPr>
      <t>2</t>
    </r>
  </si>
  <si>
    <r>
      <t>C</t>
    </r>
    <r>
      <rPr>
        <b/>
        <vertAlign val="subscript"/>
        <sz val="10"/>
        <rFont val="Arial"/>
        <family val="2"/>
      </rPr>
      <t>p</t>
    </r>
  </si>
  <si>
    <t>aca</t>
  </si>
  <si>
    <t>ac2</t>
  </si>
  <si>
    <t>ac3</t>
  </si>
  <si>
    <t>ac4</t>
  </si>
  <si>
    <t>ac6</t>
  </si>
  <si>
    <t>a77</t>
  </si>
  <si>
    <t>Qc5</t>
  </si>
  <si>
    <t>ca1</t>
  </si>
  <si>
    <r>
      <t>Totala rökgaser på 1kg</t>
    </r>
    <r>
      <rPr>
        <vertAlign val="subscript"/>
        <sz val="10"/>
        <rFont val="Arial"/>
        <family val="2"/>
      </rPr>
      <t>TS</t>
    </r>
    <r>
      <rPr>
        <sz val="10"/>
        <rFont val="Arial"/>
        <family val="2"/>
      </rPr>
      <t xml:space="preserve"> inkl fukt och luftöverskott, g</t>
    </r>
    <r>
      <rPr>
        <vertAlign val="subscript"/>
        <sz val="10"/>
        <rFont val="Arial"/>
        <family val="2"/>
      </rPr>
      <t>TS</t>
    </r>
  </si>
  <si>
    <r>
      <t>Totalt fuktigt luftbehov/kg</t>
    </r>
    <r>
      <rPr>
        <vertAlign val="subscript"/>
        <sz val="10"/>
        <rFont val="Arial"/>
        <family val="2"/>
      </rPr>
      <t>TS</t>
    </r>
    <r>
      <rPr>
        <sz val="10"/>
        <rFont val="Arial"/>
        <family val="0"/>
      </rPr>
      <t>, l</t>
    </r>
    <r>
      <rPr>
        <vertAlign val="subscript"/>
        <sz val="10"/>
        <rFont val="Arial"/>
        <family val="2"/>
      </rPr>
      <t>TS</t>
    </r>
  </si>
  <si>
    <t>°C</t>
  </si>
  <si>
    <r>
      <t>Temp</t>
    </r>
    <r>
      <rPr>
        <vertAlign val="subscript"/>
        <sz val="10"/>
        <rFont val="Arial"/>
        <family val="2"/>
      </rPr>
      <t>1</t>
    </r>
  </si>
  <si>
    <r>
      <t>Temp</t>
    </r>
    <r>
      <rPr>
        <vertAlign val="subscript"/>
        <sz val="10"/>
        <rFont val="Arial"/>
        <family val="2"/>
      </rPr>
      <t>2</t>
    </r>
  </si>
  <si>
    <r>
      <t>Temp</t>
    </r>
    <r>
      <rPr>
        <vertAlign val="subscript"/>
        <sz val="10"/>
        <rFont val="Arial"/>
        <family val="2"/>
      </rPr>
      <t>medel</t>
    </r>
  </si>
  <si>
    <r>
      <t>Temp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</si>
  <si>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pl</t>
    </r>
  </si>
  <si>
    <r>
      <t>c</t>
    </r>
    <r>
      <rPr>
        <b/>
        <vertAlign val="subscript"/>
        <sz val="11"/>
        <color indexed="52"/>
        <rFont val="Calibri"/>
        <family val="2"/>
      </rPr>
      <t>pl</t>
    </r>
  </si>
  <si>
    <r>
      <t>Temp</t>
    </r>
    <r>
      <rPr>
        <vertAlign val="subscript"/>
        <sz val="10"/>
        <rFont val="Arial"/>
        <family val="2"/>
      </rPr>
      <t>g</t>
    </r>
  </si>
  <si>
    <r>
      <t>c</t>
    </r>
    <r>
      <rPr>
        <vertAlign val="subscript"/>
        <sz val="10"/>
        <rFont val="Arial"/>
        <family val="2"/>
      </rPr>
      <t>pg,TS</t>
    </r>
  </si>
  <si>
    <r>
      <t>c</t>
    </r>
    <r>
      <rPr>
        <b/>
        <vertAlign val="subscript"/>
        <sz val="11"/>
        <color indexed="52"/>
        <rFont val="Calibri"/>
        <family val="2"/>
      </rPr>
      <t>pg,TS</t>
    </r>
  </si>
  <si>
    <t>Rökgaser</t>
  </si>
  <si>
    <r>
      <t>Torr luft, l</t>
    </r>
    <r>
      <rPr>
        <vertAlign val="subscript"/>
        <sz val="10"/>
        <rFont val="Arial"/>
        <family val="2"/>
      </rPr>
      <t>otTS</t>
    </r>
  </si>
  <si>
    <r>
      <t>Torra stökiometriska rökgaser, g</t>
    </r>
    <r>
      <rPr>
        <vertAlign val="subscript"/>
        <sz val="10"/>
        <rFont val="Arial"/>
        <family val="2"/>
      </rPr>
      <t>otTS</t>
    </r>
  </si>
  <si>
    <r>
      <t>Torra rökgaser, g</t>
    </r>
    <r>
      <rPr>
        <vertAlign val="subscript"/>
        <sz val="10"/>
        <rFont val="Arial"/>
        <family val="2"/>
      </rPr>
      <t>tTS</t>
    </r>
  </si>
  <si>
    <r>
      <t>Totalt torrt luftbehov, l</t>
    </r>
    <r>
      <rPr>
        <vertAlign val="subscript"/>
        <sz val="10"/>
        <rFont val="Arial"/>
        <family val="2"/>
      </rPr>
      <t>tTS</t>
    </r>
  </si>
  <si>
    <t>Fukthalten</t>
  </si>
  <si>
    <t>Totalt torrt (g)</t>
  </si>
  <si>
    <r>
      <t>O</t>
    </r>
    <r>
      <rPr>
        <vertAlign val="subscript"/>
        <sz val="10"/>
        <rFont val="Arial"/>
        <family val="2"/>
      </rPr>
      <t>2</t>
    </r>
  </si>
  <si>
    <r>
      <t>N</t>
    </r>
    <r>
      <rPr>
        <vertAlign val="subscript"/>
        <sz val="10"/>
        <rFont val="Arial"/>
        <family val="2"/>
      </rPr>
      <t>2</t>
    </r>
  </si>
  <si>
    <r>
      <t>CO</t>
    </r>
    <r>
      <rPr>
        <vertAlign val="subscript"/>
        <sz val="10"/>
        <rFont val="Arial"/>
        <family val="2"/>
      </rPr>
      <t>2</t>
    </r>
  </si>
  <si>
    <r>
      <t>Luftsammansättning och c</t>
    </r>
    <r>
      <rPr>
        <vertAlign val="subscript"/>
        <sz val="10"/>
        <rFont val="Arial"/>
        <family val="2"/>
      </rPr>
      <t>pl</t>
    </r>
  </si>
  <si>
    <r>
      <t>Förbränningsberäkning baserad på 1 kg</t>
    </r>
    <r>
      <rPr>
        <b/>
        <vertAlign val="subscript"/>
        <sz val="10"/>
        <rFont val="Arial"/>
        <family val="2"/>
      </rPr>
      <t xml:space="preserve">TS </t>
    </r>
    <r>
      <rPr>
        <b/>
        <sz val="10"/>
        <rFont val="Arial"/>
        <family val="2"/>
      </rPr>
      <t>+ fukt (tab 3.7). Version 2012-11-09</t>
    </r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</si>
</sst>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0.000000000"/>
    <numFmt numFmtId="167" formatCode="0.000000"/>
    <numFmt numFmtId="168" formatCode="0.0000000"/>
    <numFmt numFmtId="169" formatCode="0.0000"/>
    <numFmt numFmtId="170" formatCode="0.00000"/>
    <numFmt numFmtId="171" formatCode="0.0%"/>
    <numFmt numFmtId="172" formatCode="0.0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5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>
        <color rgb="FF7F7F7F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>
        <color rgb="FF7F7F7F"/>
      </top>
      <bottom style="thin">
        <color rgb="FF7F7F7F"/>
      </bottom>
    </border>
    <border>
      <left style="thin"/>
      <right style="thin"/>
      <top style="thin">
        <color rgb="FF7F7F7F"/>
      </top>
      <bottom style="thin"/>
    </border>
    <border>
      <left style="thin"/>
      <right style="thin"/>
      <top>
        <color indexed="63"/>
      </top>
      <bottom style="thin">
        <color rgb="FF7F7F7F"/>
      </bottom>
    </border>
    <border>
      <left>
        <color indexed="63"/>
      </left>
      <right style="thin"/>
      <top style="thin">
        <color rgb="FF7F7F7F"/>
      </top>
      <bottom style="thin">
        <color rgb="FF7F7F7F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rgb="FF7F7F7F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double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0" fillId="0" borderId="18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4" xfId="0" applyNumberFormat="1" applyFont="1" applyBorder="1" applyAlignment="1" quotePrefix="1">
      <alignment horizontal="center"/>
    </xf>
    <xf numFmtId="2" fontId="0" fillId="0" borderId="19" xfId="0" applyNumberFormat="1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1" fillId="0" borderId="13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2" fontId="1" fillId="0" borderId="2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32" fillId="30" borderId="2" xfId="46" applyAlignment="1">
      <alignment/>
    </xf>
    <xf numFmtId="2" fontId="28" fillId="21" borderId="2" xfId="34" applyNumberFormat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64" fontId="0" fillId="0" borderId="28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32" fillId="30" borderId="31" xfId="46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" fontId="1" fillId="0" borderId="15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0" fillId="0" borderId="11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2" fontId="0" fillId="0" borderId="43" xfId="0" applyNumberFormat="1" applyBorder="1" applyAlignment="1">
      <alignment/>
    </xf>
    <xf numFmtId="0" fontId="1" fillId="0" borderId="44" xfId="0" applyFont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0" fontId="28" fillId="21" borderId="2" xfId="34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47" xfId="0" applyFont="1" applyBorder="1" applyAlignment="1">
      <alignment/>
    </xf>
    <xf numFmtId="0" fontId="0" fillId="0" borderId="49" xfId="0" applyFill="1" applyBorder="1" applyAlignment="1">
      <alignment/>
    </xf>
    <xf numFmtId="2" fontId="1" fillId="0" borderId="16" xfId="0" applyNumberFormat="1" applyFont="1" applyBorder="1" applyAlignment="1">
      <alignment/>
    </xf>
    <xf numFmtId="10" fontId="32" fillId="30" borderId="51" xfId="46" applyNumberFormat="1" applyBorder="1" applyAlignment="1">
      <alignment/>
    </xf>
    <xf numFmtId="10" fontId="32" fillId="30" borderId="52" xfId="46" applyNumberFormat="1" applyBorder="1" applyAlignment="1">
      <alignment/>
    </xf>
    <xf numFmtId="0" fontId="32" fillId="30" borderId="53" xfId="46" applyNumberFormat="1" applyBorder="1" applyAlignment="1">
      <alignment/>
    </xf>
    <xf numFmtId="0" fontId="32" fillId="30" borderId="51" xfId="46" applyNumberFormat="1" applyBorder="1" applyAlignment="1">
      <alignment/>
    </xf>
    <xf numFmtId="0" fontId="32" fillId="30" borderId="54" xfId="46" applyNumberFormat="1" applyBorder="1" applyAlignment="1">
      <alignment/>
    </xf>
    <xf numFmtId="0" fontId="0" fillId="0" borderId="55" xfId="0" applyBorder="1" applyAlignment="1">
      <alignment/>
    </xf>
    <xf numFmtId="164" fontId="32" fillId="30" borderId="56" xfId="46" applyNumberFormat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Border="1" applyAlignment="1">
      <alignment/>
    </xf>
    <xf numFmtId="0" fontId="0" fillId="0" borderId="30" xfId="0" applyFont="1" applyBorder="1" applyAlignment="1">
      <alignment/>
    </xf>
    <xf numFmtId="0" fontId="0" fillId="0" borderId="58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49" xfId="0" applyFont="1" applyFill="1" applyBorder="1" applyAlignment="1">
      <alignment/>
    </xf>
    <xf numFmtId="0" fontId="0" fillId="0" borderId="59" xfId="0" applyFont="1" applyBorder="1" applyAlignment="1">
      <alignment/>
    </xf>
    <xf numFmtId="2" fontId="0" fillId="0" borderId="60" xfId="0" applyNumberFormat="1" applyBorder="1" applyAlignment="1">
      <alignment/>
    </xf>
    <xf numFmtId="0" fontId="1" fillId="33" borderId="57" xfId="0" applyFont="1" applyFill="1" applyBorder="1" applyAlignment="1">
      <alignment horizontal="center"/>
    </xf>
    <xf numFmtId="2" fontId="34" fillId="0" borderId="4" xfId="48" applyNumberFormat="1" applyAlignment="1">
      <alignment/>
    </xf>
    <xf numFmtId="165" fontId="28" fillId="21" borderId="2" xfId="34" applyNumberFormat="1" applyAlignment="1">
      <alignment/>
    </xf>
    <xf numFmtId="2" fontId="28" fillId="21" borderId="61" xfId="34" applyNumberFormat="1" applyBorder="1" applyAlignment="1">
      <alignment/>
    </xf>
    <xf numFmtId="2" fontId="28" fillId="21" borderId="31" xfId="34" applyNumberFormat="1" applyBorder="1" applyAlignment="1">
      <alignment/>
    </xf>
    <xf numFmtId="9" fontId="32" fillId="30" borderId="2" xfId="46" applyNumberFormat="1" applyAlignment="1">
      <alignment horizontal="right"/>
    </xf>
    <xf numFmtId="2" fontId="0" fillId="0" borderId="59" xfId="0" applyNumberFormat="1" applyBorder="1" applyAlignment="1">
      <alignment/>
    </xf>
    <xf numFmtId="164" fontId="0" fillId="0" borderId="13" xfId="0" applyNumberFormat="1" applyBorder="1" applyAlignment="1">
      <alignment/>
    </xf>
    <xf numFmtId="2" fontId="0" fillId="0" borderId="62" xfId="0" applyNumberFormat="1" applyFont="1" applyBorder="1" applyAlignment="1" quotePrefix="1">
      <alignment horizontal="center"/>
    </xf>
    <xf numFmtId="0" fontId="1" fillId="33" borderId="63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66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67" xfId="0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showGridLines="0" tabSelected="1" zoomScale="160" zoomScaleNormal="160" zoomScalePageLayoutView="0" workbookViewId="0" topLeftCell="A1">
      <selection activeCell="S5" sqref="S5"/>
    </sheetView>
  </sheetViews>
  <sheetFormatPr defaultColWidth="9.140625" defaultRowHeight="12.75"/>
  <cols>
    <col min="2" max="2" width="10.57421875" style="0" bestFit="1" customWidth="1"/>
    <col min="3" max="3" width="15.8515625" style="0" customWidth="1"/>
    <col min="4" max="4" width="12.57421875" style="0" bestFit="1" customWidth="1"/>
    <col min="5" max="5" width="7.8515625" style="0" customWidth="1"/>
    <col min="6" max="6" width="11.28125" style="0" bestFit="1" customWidth="1"/>
    <col min="7" max="8" width="5.7109375" style="0" bestFit="1" customWidth="1"/>
    <col min="9" max="9" width="6.7109375" style="0" bestFit="1" customWidth="1"/>
    <col min="10" max="10" width="5.7109375" style="0" customWidth="1"/>
    <col min="11" max="12" width="5.7109375" style="0" bestFit="1" customWidth="1"/>
    <col min="13" max="13" width="3.421875" style="0" customWidth="1"/>
    <col min="14" max="14" width="15.421875" style="0" bestFit="1" customWidth="1"/>
    <col min="15" max="15" width="7.28125" style="0" bestFit="1" customWidth="1"/>
    <col min="16" max="16" width="8.421875" style="0" bestFit="1" customWidth="1"/>
  </cols>
  <sheetData>
    <row r="1" ht="13.5" thickBot="1"/>
    <row r="2" spans="1:17" ht="17.25" thickBot="1" thickTop="1">
      <c r="A2" s="38"/>
      <c r="B2" s="107" t="s">
        <v>73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  <c r="Q2" s="27"/>
    </row>
    <row r="3" spans="2:12" ht="14.25" thickBot="1" thickTop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ht="14.25" thickBot="1" thickTop="1">
      <c r="A4" s="38"/>
      <c r="B4" s="55" t="s">
        <v>0</v>
      </c>
      <c r="C4" s="50" t="s">
        <v>1</v>
      </c>
      <c r="D4" s="50" t="s">
        <v>2</v>
      </c>
      <c r="E4" s="50" t="s">
        <v>3</v>
      </c>
      <c r="F4" s="51" t="s">
        <v>4</v>
      </c>
      <c r="G4" s="110" t="s">
        <v>5</v>
      </c>
      <c r="H4" s="111"/>
      <c r="I4" s="111"/>
      <c r="J4" s="111"/>
      <c r="K4" s="111"/>
      <c r="L4" s="112"/>
      <c r="N4" s="107" t="s">
        <v>62</v>
      </c>
      <c r="O4" s="108"/>
      <c r="P4" s="109"/>
    </row>
    <row r="5" spans="1:16" ht="17.25" thickBot="1" thickTop="1">
      <c r="A5" s="38"/>
      <c r="B5" s="52"/>
      <c r="C5" s="53" t="s">
        <v>6</v>
      </c>
      <c r="D5" s="53" t="s">
        <v>6</v>
      </c>
      <c r="E5" s="53" t="s">
        <v>7</v>
      </c>
      <c r="F5" s="54" t="s">
        <v>7</v>
      </c>
      <c r="G5" s="56" t="s">
        <v>30</v>
      </c>
      <c r="H5" s="57" t="s">
        <v>31</v>
      </c>
      <c r="I5" s="57" t="s">
        <v>32</v>
      </c>
      <c r="J5" s="57" t="s">
        <v>33</v>
      </c>
      <c r="K5" s="57" t="s">
        <v>8</v>
      </c>
      <c r="L5" s="98" t="s">
        <v>34</v>
      </c>
      <c r="N5" s="88" t="s">
        <v>18</v>
      </c>
      <c r="O5" s="89">
        <v>1.234</v>
      </c>
      <c r="P5" s="96"/>
    </row>
    <row r="6" spans="1:16" ht="16.5" thickBot="1" thickTop="1">
      <c r="A6" s="38"/>
      <c r="B6" s="21" t="s">
        <v>9</v>
      </c>
      <c r="C6" s="3">
        <v>12.0107</v>
      </c>
      <c r="D6" s="33">
        <v>520</v>
      </c>
      <c r="E6" s="3">
        <f>D6/C6</f>
        <v>43.29472886676047</v>
      </c>
      <c r="F6" s="11">
        <f>E6</f>
        <v>43.29472886676047</v>
      </c>
      <c r="G6" s="5"/>
      <c r="H6" s="3">
        <f>E6</f>
        <v>43.29472886676047</v>
      </c>
      <c r="I6" s="3"/>
      <c r="J6" s="3"/>
      <c r="K6" s="97"/>
      <c r="L6" s="104"/>
      <c r="N6" s="75" t="s">
        <v>14</v>
      </c>
      <c r="O6" s="99">
        <f>F22</f>
        <v>50.29413939707273</v>
      </c>
      <c r="P6" s="90"/>
    </row>
    <row r="7" spans="1:16" ht="16.5" thickTop="1">
      <c r="A7" s="38"/>
      <c r="B7" s="35" t="s">
        <v>35</v>
      </c>
      <c r="C7" s="1">
        <f>1.00794*2</f>
        <v>2.01588</v>
      </c>
      <c r="D7" s="33">
        <v>50.9</v>
      </c>
      <c r="E7" s="1">
        <f>D7/C7</f>
        <v>25.249518820564713</v>
      </c>
      <c r="F7" s="10">
        <f>E7/2</f>
        <v>12.624759410282357</v>
      </c>
      <c r="G7" s="9">
        <f>E7</f>
        <v>25.249518820564713</v>
      </c>
      <c r="H7" s="1"/>
      <c r="I7" s="1"/>
      <c r="J7" s="1"/>
      <c r="K7" s="1"/>
      <c r="L7" s="39"/>
      <c r="N7" s="76" t="s">
        <v>53</v>
      </c>
      <c r="O7" s="87">
        <v>25</v>
      </c>
      <c r="P7" s="90" t="s">
        <v>52</v>
      </c>
    </row>
    <row r="8" spans="1:16" ht="15.75">
      <c r="A8" s="38"/>
      <c r="B8" s="35" t="s">
        <v>32</v>
      </c>
      <c r="C8" s="1">
        <f>2*14.0067</f>
        <v>28.0134</v>
      </c>
      <c r="D8" s="33">
        <v>21.8</v>
      </c>
      <c r="E8" s="1">
        <f>D8/C8</f>
        <v>0.7781990047620068</v>
      </c>
      <c r="F8" s="18" t="s">
        <v>28</v>
      </c>
      <c r="G8" s="4"/>
      <c r="H8" s="1"/>
      <c r="I8" s="1">
        <f>E8</f>
        <v>0.7781990047620068</v>
      </c>
      <c r="J8" s="1"/>
      <c r="K8" s="1"/>
      <c r="L8" s="40"/>
      <c r="N8" s="76" t="s">
        <v>54</v>
      </c>
      <c r="O8" s="87">
        <v>125</v>
      </c>
      <c r="P8" s="90" t="s">
        <v>52</v>
      </c>
    </row>
    <row r="9" spans="1:16" ht="15.75">
      <c r="A9" s="38"/>
      <c r="B9" s="35" t="s">
        <v>34</v>
      </c>
      <c r="C9" s="1">
        <f>15.9994*2</f>
        <v>31.9988</v>
      </c>
      <c r="D9" s="33">
        <v>350.9</v>
      </c>
      <c r="E9" s="1">
        <f>D9/C9</f>
        <v>10.966036226358488</v>
      </c>
      <c r="F9" s="10">
        <f>-E9</f>
        <v>-10.966036226358488</v>
      </c>
      <c r="G9" s="4"/>
      <c r="H9" s="1"/>
      <c r="I9" s="1"/>
      <c r="J9" s="1"/>
      <c r="K9" s="1"/>
      <c r="L9" s="40"/>
      <c r="N9" s="77" t="s">
        <v>55</v>
      </c>
      <c r="O9" s="100">
        <f>AVERAGE(O7:O8)</f>
        <v>75</v>
      </c>
      <c r="P9" s="90" t="s">
        <v>52</v>
      </c>
    </row>
    <row r="10" spans="1:16" ht="16.5" thickBot="1">
      <c r="A10" s="38"/>
      <c r="B10" s="35" t="s">
        <v>10</v>
      </c>
      <c r="C10" s="1">
        <v>32.065</v>
      </c>
      <c r="D10" s="33">
        <v>2.4</v>
      </c>
      <c r="E10" s="1">
        <f>D10/C10</f>
        <v>0.07484796507094964</v>
      </c>
      <c r="F10" s="10">
        <f>E10</f>
        <v>0.07484796507094964</v>
      </c>
      <c r="G10" s="4"/>
      <c r="H10" s="1"/>
      <c r="I10" s="1"/>
      <c r="J10" s="1">
        <f>E10</f>
        <v>0.07484796507094964</v>
      </c>
      <c r="K10" s="1"/>
      <c r="L10" s="40"/>
      <c r="N10" s="78" t="s">
        <v>60</v>
      </c>
      <c r="O10" s="102">
        <f>'Cp-värde'!B18</f>
        <v>31.023303018146816</v>
      </c>
      <c r="P10" s="92" t="s">
        <v>25</v>
      </c>
    </row>
    <row r="11" spans="1:12" ht="16.5" thickBot="1" thickTop="1">
      <c r="A11" s="38"/>
      <c r="B11" s="36" t="s">
        <v>11</v>
      </c>
      <c r="C11" s="20" t="s">
        <v>28</v>
      </c>
      <c r="D11" s="47">
        <v>54.6</v>
      </c>
      <c r="E11" s="20" t="s">
        <v>28</v>
      </c>
      <c r="F11" s="19" t="s">
        <v>28</v>
      </c>
      <c r="G11" s="4"/>
      <c r="H11" s="1"/>
      <c r="I11" s="1"/>
      <c r="J11" s="1"/>
      <c r="K11" s="1"/>
      <c r="L11" s="40"/>
    </row>
    <row r="12" spans="1:16" ht="17.25" thickBot="1" thickTop="1">
      <c r="A12" s="38"/>
      <c r="B12" s="113" t="s">
        <v>68</v>
      </c>
      <c r="C12" s="114"/>
      <c r="D12" s="14">
        <f>SUM(D6:D11)</f>
        <v>1000.5999999999999</v>
      </c>
      <c r="E12" s="2"/>
      <c r="F12" s="58">
        <f>SUM(F6:F10)</f>
        <v>45.02830001575529</v>
      </c>
      <c r="G12" s="4"/>
      <c r="H12" s="1"/>
      <c r="I12" s="1"/>
      <c r="J12" s="1"/>
      <c r="K12" s="1"/>
      <c r="L12" s="40"/>
      <c r="N12" s="107" t="s">
        <v>72</v>
      </c>
      <c r="O12" s="108"/>
      <c r="P12" s="109"/>
    </row>
    <row r="13" spans="1:16" ht="16.5" thickTop="1">
      <c r="A13" s="38"/>
      <c r="B13" s="94" t="s">
        <v>67</v>
      </c>
      <c r="C13" s="2"/>
      <c r="D13" s="103">
        <v>0.45</v>
      </c>
      <c r="E13" s="2"/>
      <c r="F13" s="58"/>
      <c r="G13" s="4"/>
      <c r="H13" s="1"/>
      <c r="I13" s="1"/>
      <c r="J13" s="1"/>
      <c r="K13" s="1"/>
      <c r="L13" s="40"/>
      <c r="N13" s="95" t="s">
        <v>69</v>
      </c>
      <c r="O13" s="83">
        <v>0.2095</v>
      </c>
      <c r="P13" s="91"/>
    </row>
    <row r="14" spans="1:16" ht="16.5" thickBot="1">
      <c r="A14" s="38"/>
      <c r="B14" s="37" t="s">
        <v>24</v>
      </c>
      <c r="C14" s="1">
        <f>C9/2+C7</f>
        <v>18.01528</v>
      </c>
      <c r="D14" s="100">
        <f>D13*D12/(1-D13)</f>
        <v>818.6727272727272</v>
      </c>
      <c r="E14" s="59">
        <f>D14/C14</f>
        <v>45.443241918678325</v>
      </c>
      <c r="F14" s="18" t="s">
        <v>28</v>
      </c>
      <c r="G14" s="31">
        <f>E14</f>
        <v>45.443241918678325</v>
      </c>
      <c r="H14" s="1"/>
      <c r="I14" s="1"/>
      <c r="J14" s="1"/>
      <c r="K14" s="1"/>
      <c r="L14" s="40"/>
      <c r="N14" s="95" t="s">
        <v>70</v>
      </c>
      <c r="O14" s="83">
        <v>0.7809</v>
      </c>
      <c r="P14" s="91"/>
    </row>
    <row r="15" spans="1:16" ht="16.5" thickBot="1" thickTop="1">
      <c r="A15" s="38"/>
      <c r="B15" s="115" t="s">
        <v>12</v>
      </c>
      <c r="C15" s="116"/>
      <c r="D15" s="60">
        <f>D12+D14</f>
        <v>1819.272727272727</v>
      </c>
      <c r="E15" s="4"/>
      <c r="F15" s="10"/>
      <c r="G15" s="4"/>
      <c r="H15" s="1"/>
      <c r="I15" s="1"/>
      <c r="J15" s="1"/>
      <c r="K15" s="1"/>
      <c r="L15" s="40"/>
      <c r="N15" s="81" t="s">
        <v>8</v>
      </c>
      <c r="O15" s="83">
        <v>0.0093</v>
      </c>
      <c r="P15" s="91"/>
    </row>
    <row r="16" spans="1:16" ht="16.5" thickTop="1">
      <c r="A16" s="38"/>
      <c r="B16" s="121" t="s">
        <v>29</v>
      </c>
      <c r="C16" s="122"/>
      <c r="D16" s="122"/>
      <c r="E16" s="120"/>
      <c r="F16" s="10">
        <f>F12*SUM(O14:O16)/O13</f>
        <v>169.9039196298547</v>
      </c>
      <c r="G16" s="4"/>
      <c r="H16" s="1">
        <f>(O16/O13)*F12</f>
        <v>0.064479665893683</v>
      </c>
      <c r="I16" s="1">
        <f>(O14/O13)*F12</f>
        <v>167.84057032125685</v>
      </c>
      <c r="J16" s="1"/>
      <c r="K16" s="1">
        <f>(O15/O13)*F12</f>
        <v>1.998869642704173</v>
      </c>
      <c r="L16" s="40"/>
      <c r="N16" s="95" t="s">
        <v>71</v>
      </c>
      <c r="O16" s="84">
        <v>0.0003</v>
      </c>
      <c r="P16" s="91"/>
    </row>
    <row r="17" spans="1:16" ht="16.5" thickBot="1">
      <c r="A17" s="38"/>
      <c r="B17" s="130" t="s">
        <v>63</v>
      </c>
      <c r="C17" s="131"/>
      <c r="D17" s="131"/>
      <c r="E17" s="131"/>
      <c r="F17" s="61">
        <f>F16+F12</f>
        <v>214.93221964561</v>
      </c>
      <c r="G17" s="4"/>
      <c r="H17" s="1"/>
      <c r="I17" s="1"/>
      <c r="J17" s="1"/>
      <c r="K17" s="1"/>
      <c r="L17" s="40"/>
      <c r="N17" s="80" t="s">
        <v>53</v>
      </c>
      <c r="O17" s="85">
        <v>15</v>
      </c>
      <c r="P17" s="90" t="s">
        <v>52</v>
      </c>
    </row>
    <row r="18" spans="1:16" ht="16.5" thickTop="1">
      <c r="A18" s="38"/>
      <c r="B18" s="132" t="s">
        <v>13</v>
      </c>
      <c r="C18" s="133"/>
      <c r="D18" s="134"/>
      <c r="E18" s="33">
        <v>0.01</v>
      </c>
      <c r="F18" s="11">
        <f>F17*E18</f>
        <v>2.1493221964561</v>
      </c>
      <c r="G18" s="9">
        <f>F18</f>
        <v>2.1493221964561</v>
      </c>
      <c r="H18" s="1"/>
      <c r="I18" s="1"/>
      <c r="J18" s="1"/>
      <c r="K18" s="1"/>
      <c r="L18" s="40"/>
      <c r="N18" s="76" t="s">
        <v>54</v>
      </c>
      <c r="O18" s="86">
        <v>25</v>
      </c>
      <c r="P18" s="90" t="s">
        <v>52</v>
      </c>
    </row>
    <row r="19" spans="1:16" ht="16.5" thickBot="1">
      <c r="A19" s="38"/>
      <c r="B19" s="130" t="s">
        <v>26</v>
      </c>
      <c r="C19" s="131"/>
      <c r="D19" s="131"/>
      <c r="E19" s="131"/>
      <c r="F19" s="61">
        <f>F17+F18</f>
        <v>217.0815418420661</v>
      </c>
      <c r="G19" s="15"/>
      <c r="H19" s="16"/>
      <c r="I19" s="16"/>
      <c r="J19" s="16"/>
      <c r="K19" s="16"/>
      <c r="L19" s="41"/>
      <c r="N19" s="77" t="s">
        <v>55</v>
      </c>
      <c r="O19" s="100">
        <f>AVERAGE(O17:O18)</f>
        <v>20</v>
      </c>
      <c r="P19" s="90" t="s">
        <v>52</v>
      </c>
    </row>
    <row r="20" spans="1:16" ht="17.25" thickBot="1" thickTop="1">
      <c r="A20" s="38"/>
      <c r="B20" s="121" t="s">
        <v>64</v>
      </c>
      <c r="C20" s="122"/>
      <c r="D20" s="122"/>
      <c r="E20" s="122"/>
      <c r="F20" s="58">
        <f>SUM(G20:L20)</f>
        <v>214.0516954664481</v>
      </c>
      <c r="G20" s="106" t="s">
        <v>28</v>
      </c>
      <c r="H20" s="22">
        <f>SUM(H6:H19)</f>
        <v>43.35920853265416</v>
      </c>
      <c r="I20" s="22">
        <f>SUM(I6:I19)</f>
        <v>168.61876932601885</v>
      </c>
      <c r="J20" s="22">
        <f>SUM(J6:J19)</f>
        <v>0.07484796507094964</v>
      </c>
      <c r="K20" s="22">
        <f>SUM(K6:K19)</f>
        <v>1.998869642704173</v>
      </c>
      <c r="L20" s="23"/>
      <c r="N20" s="78" t="s">
        <v>57</v>
      </c>
      <c r="O20" s="101">
        <f>'Cp-värde'!B19</f>
        <v>29.07165031867334</v>
      </c>
      <c r="P20" s="42" t="s">
        <v>25</v>
      </c>
    </row>
    <row r="21" spans="1:15" ht="17.25" thickBot="1" thickTop="1">
      <c r="A21" s="38"/>
      <c r="B21" s="119" t="s">
        <v>27</v>
      </c>
      <c r="C21" s="120"/>
      <c r="D21" s="120"/>
      <c r="E21" s="120"/>
      <c r="F21" s="62">
        <f>SUM(G21:L21)</f>
        <v>286.89377840214723</v>
      </c>
      <c r="G21" s="24">
        <f>SUM(G6:G19)</f>
        <v>72.84208293569914</v>
      </c>
      <c r="H21" s="25">
        <f>SUM(H6:H19)</f>
        <v>43.35920853265416</v>
      </c>
      <c r="I21" s="25">
        <f>SUM(I6:I19)</f>
        <v>168.61876932601885</v>
      </c>
      <c r="J21" s="25">
        <f>SUM(J6:J19)</f>
        <v>0.07484796507094964</v>
      </c>
      <c r="K21" s="25">
        <f>SUM(K6:K19)</f>
        <v>1.998869642704173</v>
      </c>
      <c r="L21" s="26"/>
      <c r="O21" s="93"/>
    </row>
    <row r="22" spans="1:12" ht="13.5" thickTop="1">
      <c r="A22" s="38"/>
      <c r="B22" s="123" t="s">
        <v>14</v>
      </c>
      <c r="C22" s="120"/>
      <c r="D22" s="120"/>
      <c r="E22" s="120"/>
      <c r="F22" s="62">
        <f>F17*(O5-1)</f>
        <v>50.29413939707273</v>
      </c>
      <c r="G22" s="63" t="s">
        <v>28</v>
      </c>
      <c r="H22" s="3">
        <f>O16*F22</f>
        <v>0.01508824181912182</v>
      </c>
      <c r="I22" s="3">
        <f>O14*F22</f>
        <v>39.2746934551741</v>
      </c>
      <c r="J22" s="2"/>
      <c r="K22" s="3">
        <f>O15*F22</f>
        <v>0.4677354963927764</v>
      </c>
      <c r="L22" s="39">
        <f>O13*F22</f>
        <v>10.536622203686738</v>
      </c>
    </row>
    <row r="23" spans="1:12" ht="13.5" thickBot="1">
      <c r="A23" s="38"/>
      <c r="B23" s="123" t="s">
        <v>15</v>
      </c>
      <c r="C23" s="120"/>
      <c r="D23" s="120"/>
      <c r="E23" s="120"/>
      <c r="F23" s="62">
        <f>E18*F22</f>
        <v>0.5029413939707273</v>
      </c>
      <c r="G23" s="17">
        <f>F23</f>
        <v>0.5029413939707273</v>
      </c>
      <c r="H23" s="12"/>
      <c r="I23" s="12"/>
      <c r="J23" s="12"/>
      <c r="K23" s="12"/>
      <c r="L23" s="42"/>
    </row>
    <row r="24" spans="1:12" ht="16.5" thickTop="1">
      <c r="A24" s="38"/>
      <c r="B24" s="119" t="s">
        <v>65</v>
      </c>
      <c r="C24" s="120"/>
      <c r="D24" s="120"/>
      <c r="E24" s="120"/>
      <c r="F24" s="62">
        <f>SUM(G24:L24)</f>
        <v>264.3458348635209</v>
      </c>
      <c r="G24" s="63" t="s">
        <v>28</v>
      </c>
      <c r="H24" s="22">
        <f>H20+H22</f>
        <v>43.37429677447328</v>
      </c>
      <c r="I24" s="22">
        <f>I22+I20</f>
        <v>207.89346278119297</v>
      </c>
      <c r="J24" s="22">
        <f>J22+J20</f>
        <v>0.07484796507094964</v>
      </c>
      <c r="K24" s="22">
        <f>K22+K20</f>
        <v>2.4666051390969495</v>
      </c>
      <c r="L24" s="30">
        <f>L22</f>
        <v>10.536622203686738</v>
      </c>
    </row>
    <row r="25" spans="1:12" ht="16.5" thickBot="1">
      <c r="A25" s="38"/>
      <c r="B25" s="119" t="s">
        <v>50</v>
      </c>
      <c r="C25" s="120"/>
      <c r="D25" s="120"/>
      <c r="E25" s="120"/>
      <c r="F25" s="62">
        <f>SUM(G25:L25)</f>
        <v>337.69085919319076</v>
      </c>
      <c r="G25" s="24">
        <f>G21+G23</f>
        <v>73.34502432966987</v>
      </c>
      <c r="H25" s="25">
        <f>H24</f>
        <v>43.37429677447328</v>
      </c>
      <c r="I25" s="25">
        <f>I24</f>
        <v>207.89346278119297</v>
      </c>
      <c r="J25" s="25">
        <f>J24</f>
        <v>0.07484796507094964</v>
      </c>
      <c r="K25" s="25">
        <f>K24</f>
        <v>2.4666051390969495</v>
      </c>
      <c r="L25" s="32">
        <f>L24</f>
        <v>10.536622203686738</v>
      </c>
    </row>
    <row r="26" spans="1:12" ht="16.5" thickTop="1">
      <c r="A26" s="38"/>
      <c r="B26" s="117" t="s">
        <v>66</v>
      </c>
      <c r="C26" s="118"/>
      <c r="D26" s="59">
        <f>F17+F22</f>
        <v>265.2263590426827</v>
      </c>
      <c r="E26" s="126" t="s">
        <v>16</v>
      </c>
      <c r="F26" s="127"/>
      <c r="G26" s="106" t="s">
        <v>28</v>
      </c>
      <c r="H26" s="105">
        <f>H25/$F$24</f>
        <v>0.16408163494184425</v>
      </c>
      <c r="I26" s="6">
        <f>I25/$F$24</f>
        <v>0.7864450101456157</v>
      </c>
      <c r="J26" s="6">
        <f>J25/$F$24</f>
        <v>0.0002831441059383171</v>
      </c>
      <c r="K26" s="6">
        <f>K25/$F$24</f>
        <v>0.00933097788497569</v>
      </c>
      <c r="L26" s="43">
        <f>L25/$F$24</f>
        <v>0.03985923292162591</v>
      </c>
    </row>
    <row r="27" spans="1:12" ht="16.5" thickBot="1">
      <c r="A27" s="38"/>
      <c r="B27" s="124" t="s">
        <v>51</v>
      </c>
      <c r="C27" s="125"/>
      <c r="D27" s="82">
        <f>F19+F22+F23</f>
        <v>267.87862263310956</v>
      </c>
      <c r="E27" s="128" t="s">
        <v>17</v>
      </c>
      <c r="F27" s="129"/>
      <c r="G27" s="44">
        <f aca="true" t="shared" si="0" ref="G27:L27">G25/$F$25</f>
        <v>0.2171957645075304</v>
      </c>
      <c r="H27" s="45">
        <f t="shared" si="0"/>
        <v>0.12844379879900486</v>
      </c>
      <c r="I27" s="45">
        <f t="shared" si="0"/>
        <v>0.6156324849239063</v>
      </c>
      <c r="J27" s="45">
        <f t="shared" si="0"/>
        <v>0.00022164640538324313</v>
      </c>
      <c r="K27" s="45">
        <f t="shared" si="0"/>
        <v>0.007304329009645537</v>
      </c>
      <c r="L27" s="46">
        <f t="shared" si="0"/>
        <v>0.031201976354529645</v>
      </c>
    </row>
    <row r="28" spans="1:12" ht="13.5" thickTop="1">
      <c r="A28" s="27"/>
      <c r="B28" s="48"/>
      <c r="C28" s="48"/>
      <c r="D28" s="48"/>
      <c r="E28" s="48"/>
      <c r="F28" s="48"/>
      <c r="G28" s="49"/>
      <c r="H28" s="49"/>
      <c r="I28" s="49"/>
      <c r="J28" s="49"/>
      <c r="K28" s="49"/>
      <c r="L28" s="49"/>
    </row>
    <row r="36" ht="12.75">
      <c r="A36" s="27"/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4" ht="12.75">
      <c r="E44" s="29"/>
    </row>
  </sheetData>
  <sheetProtection/>
  <mergeCells count="20">
    <mergeCell ref="B22:E22"/>
    <mergeCell ref="B27:C27"/>
    <mergeCell ref="E26:F26"/>
    <mergeCell ref="E27:F27"/>
    <mergeCell ref="N12:P12"/>
    <mergeCell ref="B16:E16"/>
    <mergeCell ref="B17:E17"/>
    <mergeCell ref="B18:D18"/>
    <mergeCell ref="B19:E19"/>
    <mergeCell ref="B23:E23"/>
    <mergeCell ref="B2:P2"/>
    <mergeCell ref="N4:P4"/>
    <mergeCell ref="G4:L4"/>
    <mergeCell ref="B12:C12"/>
    <mergeCell ref="B15:C15"/>
    <mergeCell ref="B26:C26"/>
    <mergeCell ref="B24:E24"/>
    <mergeCell ref="B25:E25"/>
    <mergeCell ref="B20:E20"/>
    <mergeCell ref="B21:E2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zoomScale="175" zoomScaleNormal="175" zoomScalePageLayoutView="0" workbookViewId="0" topLeftCell="A1">
      <selection activeCell="B19" sqref="B19"/>
    </sheetView>
  </sheetViews>
  <sheetFormatPr defaultColWidth="9.140625" defaultRowHeight="12.75"/>
  <cols>
    <col min="1" max="1" width="11.00390625" style="7" bestFit="1" customWidth="1"/>
    <col min="2" max="2" width="6.28125" style="7" bestFit="1" customWidth="1"/>
    <col min="3" max="3" width="15.421875" style="7" bestFit="1" customWidth="1"/>
    <col min="4" max="4" width="14.7109375" style="7" bestFit="1" customWidth="1"/>
    <col min="5" max="5" width="9.7109375" style="7" bestFit="1" customWidth="1"/>
    <col min="6" max="6" width="8.7109375" style="7" bestFit="1" customWidth="1"/>
    <col min="7" max="7" width="8.28125" style="7" bestFit="1" customWidth="1"/>
    <col min="10" max="16384" width="9.140625" style="7" customWidth="1"/>
  </cols>
  <sheetData>
    <row r="1" spans="1:256" ht="15.75">
      <c r="A1" s="29" t="s">
        <v>59</v>
      </c>
      <c r="B1">
        <f>Beräkningsmall!O9+273.15</f>
        <v>348.15</v>
      </c>
      <c r="C1" t="s">
        <v>19</v>
      </c>
      <c r="D1" s="79" t="s">
        <v>56</v>
      </c>
      <c r="E1">
        <f>Beräkningsmall!O19+273.15</f>
        <v>293.15</v>
      </c>
      <c r="F1" t="s">
        <v>19</v>
      </c>
      <c r="G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thickBot="1">
      <c r="A2"/>
      <c r="B2">
        <f>B1/1000</f>
        <v>0.34814999999999996</v>
      </c>
      <c r="C2"/>
      <c r="D2"/>
      <c r="E2">
        <f>E1/1000</f>
        <v>0.29314999999999997</v>
      </c>
      <c r="F2"/>
      <c r="G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7" s="8" customFormat="1" ht="14.25">
      <c r="A3" s="66" t="s">
        <v>20</v>
      </c>
      <c r="B3" s="67" t="s">
        <v>21</v>
      </c>
      <c r="C3" s="67" t="s">
        <v>37</v>
      </c>
      <c r="D3" s="67" t="s">
        <v>38</v>
      </c>
      <c r="E3" s="67" t="s">
        <v>39</v>
      </c>
      <c r="F3" s="67" t="s">
        <v>22</v>
      </c>
      <c r="G3" s="68" t="s">
        <v>40</v>
      </c>
    </row>
    <row r="4" spans="1:7" s="8" customFormat="1" ht="12.75">
      <c r="A4" s="69" t="s">
        <v>49</v>
      </c>
      <c r="B4" s="28">
        <v>0</v>
      </c>
      <c r="C4" s="28">
        <v>0.0731476</v>
      </c>
      <c r="D4" s="28">
        <v>0</v>
      </c>
      <c r="E4" s="28">
        <v>0</v>
      </c>
      <c r="F4" s="28">
        <v>0</v>
      </c>
      <c r="G4" s="70">
        <v>0</v>
      </c>
    </row>
    <row r="5" spans="1:7" s="8" customFormat="1" ht="12.75">
      <c r="A5" s="69" t="s">
        <v>42</v>
      </c>
      <c r="B5" s="28">
        <v>29.438265</v>
      </c>
      <c r="C5" s="28">
        <v>27.885805</v>
      </c>
      <c r="D5" s="28">
        <v>17.640049</v>
      </c>
      <c r="E5" s="28">
        <v>28.298404</v>
      </c>
      <c r="F5" s="28">
        <v>28.151964</v>
      </c>
      <c r="G5" s="70">
        <v>33.051759</v>
      </c>
    </row>
    <row r="6" spans="1:7" s="8" customFormat="1" ht="12.75">
      <c r="A6" s="69" t="s">
        <v>23</v>
      </c>
      <c r="B6" s="28">
        <v>-1.610822</v>
      </c>
      <c r="C6" s="28">
        <v>8.4430197</v>
      </c>
      <c r="D6" s="28">
        <v>93.726944</v>
      </c>
      <c r="E6" s="28">
        <v>12.689906</v>
      </c>
      <c r="F6" s="28">
        <v>13.197123</v>
      </c>
      <c r="G6" s="70">
        <v>-41.834166</v>
      </c>
    </row>
    <row r="7" spans="1:7" s="8" customFormat="1" ht="12.75">
      <c r="A7" s="69" t="s">
        <v>43</v>
      </c>
      <c r="B7" s="28">
        <v>-11.991744</v>
      </c>
      <c r="C7" s="28">
        <v>11.985297</v>
      </c>
      <c r="D7" s="28">
        <v>-130.3766</v>
      </c>
      <c r="E7" s="28">
        <v>-72.418092</v>
      </c>
      <c r="F7" s="28">
        <v>-74.482113</v>
      </c>
      <c r="G7" s="70">
        <v>148.0241</v>
      </c>
    </row>
    <row r="8" spans="1:7" s="8" customFormat="1" ht="12.75">
      <c r="A8" s="69" t="s">
        <v>44</v>
      </c>
      <c r="B8" s="28">
        <v>68.828384</v>
      </c>
      <c r="C8" s="28">
        <v>-16.092233</v>
      </c>
      <c r="D8" s="28">
        <v>153.97055</v>
      </c>
      <c r="E8" s="28">
        <v>185.3629</v>
      </c>
      <c r="F8" s="28">
        <v>189.98363</v>
      </c>
      <c r="G8" s="70">
        <v>-205.02229</v>
      </c>
    </row>
    <row r="9" spans="1:7" s="8" customFormat="1" ht="12.75">
      <c r="A9" s="69" t="s">
        <v>45</v>
      </c>
      <c r="B9" s="28">
        <v>-98.239929</v>
      </c>
      <c r="C9" s="28">
        <v>13.636273</v>
      </c>
      <c r="D9" s="28">
        <v>-139.99603</v>
      </c>
      <c r="E9" s="28">
        <v>-220.42323</v>
      </c>
      <c r="F9" s="28">
        <v>-226.6168</v>
      </c>
      <c r="G9" s="70">
        <v>145.368</v>
      </c>
    </row>
    <row r="10" spans="1:7" s="8" customFormat="1" ht="12.75">
      <c r="A10" s="69" t="s">
        <v>48</v>
      </c>
      <c r="B10" s="28">
        <v>64.883505</v>
      </c>
      <c r="C10" s="28">
        <v>-6.4729</v>
      </c>
      <c r="D10" s="28">
        <v>83.151862</v>
      </c>
      <c r="E10" s="28">
        <v>137.35517</v>
      </c>
      <c r="F10" s="28">
        <v>142.04175</v>
      </c>
      <c r="G10" s="70">
        <v>-52.29072</v>
      </c>
    </row>
    <row r="11" spans="1:7" s="8" customFormat="1" ht="12.75">
      <c r="A11" s="69" t="s">
        <v>46</v>
      </c>
      <c r="B11" s="28">
        <v>-20.90938</v>
      </c>
      <c r="C11" s="28">
        <v>1.1891256</v>
      </c>
      <c r="D11" s="28">
        <v>-27.578508</v>
      </c>
      <c r="E11" s="28">
        <v>-43.809407</v>
      </c>
      <c r="F11" s="28">
        <v>-45.640429</v>
      </c>
      <c r="G11" s="70">
        <v>7.5770768</v>
      </c>
    </row>
    <row r="12" spans="1:7" s="8" customFormat="1" ht="12.75">
      <c r="A12" s="69" t="s">
        <v>47</v>
      </c>
      <c r="B12" s="28">
        <v>2.6652402</v>
      </c>
      <c r="C12" s="28">
        <v>0</v>
      </c>
      <c r="D12" s="28">
        <v>3.8298136</v>
      </c>
      <c r="E12" s="28">
        <v>5.6619528</v>
      </c>
      <c r="F12" s="28">
        <v>5.9487537</v>
      </c>
      <c r="G12" s="70">
        <v>0</v>
      </c>
    </row>
    <row r="13" spans="1:256" ht="15" thickBot="1">
      <c r="A13" s="71" t="s">
        <v>41</v>
      </c>
      <c r="B13" s="72">
        <f>B5+B6*$E2+B7*$E2^2+B8*$E2^3+B9*$E2^4+B10*$E2^5+B11*$E2^6+B12*$E2^7</f>
        <v>29.07165031867334</v>
      </c>
      <c r="C13" s="72">
        <f>C4/B2+C5+C6*$B2+C7*$B2^2+C8*$B2^3+C9*$B2^4+C10*$B2^5+C11*$B2^6+C12*$B2^7</f>
        <v>31.978340156140945</v>
      </c>
      <c r="D13" s="72">
        <f>D5+D6*$B2+D7*$B2^2+D8*$B2^3+D9*$B2^4+D10*$B2^5+D11*$B2^6+D12*$B2^7</f>
        <v>39.28752520721589</v>
      </c>
      <c r="E13" s="72">
        <f>E5+E6*$B2+E7*$B2^2+E8*$B2^3+E9*$B2^4+E10*$B2^5+E11*$B2^6+E12*$B2^7</f>
        <v>29.150490961102427</v>
      </c>
      <c r="F13" s="72">
        <f>F5+F6*$B2+F7*$B2^2+F8*$B2^3+F9*$B2^4+F10*$B2^5+F11*$B2^6+F12*$B2^7</f>
        <v>29.05534631699174</v>
      </c>
      <c r="G13" s="73">
        <f>G5+G6*$B2+G7*$B2^2+G8*$B2^3+G9*$B2^4+G10*$B2^5+G11*$B2^6+G12*$B2^7</f>
        <v>29.658990545962165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/>
      <c r="C14"/>
      <c r="D14"/>
      <c r="E14"/>
      <c r="F14"/>
      <c r="G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25">
      <c r="A15" s="29" t="s">
        <v>36</v>
      </c>
      <c r="B15"/>
      <c r="C15" s="65" t="s">
        <v>37</v>
      </c>
      <c r="D15" s="65" t="s">
        <v>38</v>
      </c>
      <c r="E15" s="65"/>
      <c r="F15" s="65" t="s">
        <v>22</v>
      </c>
      <c r="G15" s="65" t="s">
        <v>40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7" ht="12.75">
      <c r="A16"/>
      <c r="B16"/>
      <c r="C16" s="64">
        <f>Beräkningsmall!G27</f>
        <v>0.2171957645075304</v>
      </c>
      <c r="D16" s="64">
        <f>Beräkningsmall!H27</f>
        <v>0.12844379879900486</v>
      </c>
      <c r="E16" s="64"/>
      <c r="F16" s="64">
        <f>Beräkningsmall!I27+Beräkningsmall!J27+Beräkningsmall!K27</f>
        <v>0.6231584603389351</v>
      </c>
      <c r="G16" s="64">
        <f>Beräkningsmall!L27</f>
        <v>0.031201976354529645</v>
      </c>
    </row>
    <row r="17" spans="1:7" ht="12.75">
      <c r="A17"/>
      <c r="B17"/>
      <c r="C17"/>
      <c r="D17"/>
      <c r="E17"/>
      <c r="F17"/>
      <c r="G17"/>
    </row>
    <row r="18" spans="1:7" ht="18">
      <c r="A18" s="74" t="s">
        <v>61</v>
      </c>
      <c r="B18" s="34">
        <f>C13*C16+D13*D16+F13*F16+G13*G16</f>
        <v>31.023303018146816</v>
      </c>
      <c r="C18"/>
      <c r="D18"/>
      <c r="E18"/>
      <c r="F18"/>
      <c r="G18"/>
    </row>
    <row r="19" spans="1:2" ht="18">
      <c r="A19" s="74" t="s">
        <v>58</v>
      </c>
      <c r="B19" s="34">
        <f>B13</f>
        <v>29.07165031867334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Robert.Eklund</dc:creator>
  <cp:keywords/>
  <dc:description/>
  <cp:lastModifiedBy>Robert Eklund</cp:lastModifiedBy>
  <cp:lastPrinted>2008-12-03T11:46:40Z</cp:lastPrinted>
  <dcterms:created xsi:type="dcterms:W3CDTF">2005-10-20T13:26:40Z</dcterms:created>
  <dcterms:modified xsi:type="dcterms:W3CDTF">2012-11-12T07:42:34Z</dcterms:modified>
  <cp:category/>
  <cp:version/>
  <cp:contentType/>
  <cp:contentStatus/>
</cp:coreProperties>
</file>