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tudentlitteratur.corp\resources\pia\Omslag Bilder\006000\6595\"/>
    </mc:Choice>
  </mc:AlternateContent>
  <xr:revisionPtr revIDLastSave="0" documentId="8_{3A2343D4-1EA4-4D82-963B-9972FACDDAF3}" xr6:coauthVersionLast="47" xr6:coauthVersionMax="47" xr10:uidLastSave="{00000000-0000-0000-0000-000000000000}"/>
  <bookViews>
    <workbookView xWindow="-120" yWindow="-120" windowWidth="29040" windowHeight="17640" xr2:uid="{00000000-000D-0000-FFFF-FFFF00000000}"/>
  </bookViews>
  <sheets>
    <sheet name="Innehåll" sheetId="36" r:id="rId1"/>
    <sheet name="kap 3" sheetId="10" r:id="rId2"/>
    <sheet name="kap 4" sheetId="35" r:id="rId3"/>
    <sheet name="kap 6" sheetId="30" r:id="rId4"/>
    <sheet name="kap 7" sheetId="26" r:id="rId5"/>
    <sheet name="7.2" sheetId="32" r:id="rId6"/>
    <sheet name="7.3 GPB" sheetId="34" r:id="rId7"/>
    <sheet name="Kap 9" sheetId="21" r:id="rId8"/>
    <sheet name="Kap 10" sheetId="29" r:id="rId9"/>
    <sheet name="Kap 11" sheetId="31" r:id="rId10"/>
    <sheet name="kap 12" sheetId="24" r:id="rId11"/>
    <sheet name="Sammanfattning" sheetId="28" r:id="rId12"/>
  </sheets>
  <externalReferences>
    <externalReference r:id="rId13"/>
    <externalReference r:id="rId14"/>
  </externalReferences>
  <definedNames>
    <definedName name="Adam">OFFSET([1]Digram!XET1048569,0,0,1,COUNTA([1]Digram!XET1048569:XFC1048569))</definedName>
    <definedName name="HTML1_1" hidden="1">"'[kap13.xls]Resultatrapport 1'!$A$6:$G$28"</definedName>
    <definedName name="HTML1_10" hidden="1">""</definedName>
    <definedName name="HTML1_11" hidden="1">1</definedName>
    <definedName name="HTML1_12" hidden="1">"C:\Mina dokument\HOMEPAGE\Excelsida\MyHTML.htm"</definedName>
    <definedName name="HTML1_2" hidden="1">1</definedName>
    <definedName name="HTML1_3" hidden="1">"kap13"</definedName>
    <definedName name="HTML1_4" hidden="1">"Resultatrapport 1"</definedName>
    <definedName name="HTML1_5" hidden="1">""</definedName>
    <definedName name="HTML1_6" hidden="1">-4146</definedName>
    <definedName name="HTML1_7" hidden="1">-4146</definedName>
    <definedName name="HTML1_8" hidden="1">"1996-11-24"</definedName>
    <definedName name="HTML1_9" hidden="1">"Anders Isaksson"</definedName>
    <definedName name="HTMLCount" hidden="1">1</definedName>
    <definedName name="Inbet1">#REF!</definedName>
    <definedName name="Inbet2">#REF!</definedName>
    <definedName name="Område">OFFSET([2]Blad2!$C$1,0,0,COUNTA([2]Blad2!#REF!),COUNTA([2]Blad2!$A$1:$IV$1))</definedName>
    <definedName name="Rest1">#REF!</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34" l="1"/>
  <c r="N7" i="34"/>
  <c r="N6" i="34"/>
  <c r="AB15" i="29"/>
  <c r="AB16" i="29" s="1"/>
  <c r="AA19" i="29"/>
  <c r="W19" i="29"/>
  <c r="AA16" i="29"/>
  <c r="AA15" i="29"/>
  <c r="W18" i="29"/>
  <c r="B12" i="35"/>
  <c r="I30" i="21"/>
  <c r="H30" i="21"/>
  <c r="R14" i="31"/>
  <c r="R12" i="31"/>
  <c r="R13" i="31"/>
  <c r="I47" i="26"/>
  <c r="I46" i="26"/>
  <c r="M39" i="29"/>
  <c r="I15" i="26"/>
  <c r="I14" i="26"/>
  <c r="B20" i="35"/>
  <c r="A19" i="35"/>
  <c r="A17" i="35"/>
  <c r="G10" i="21"/>
  <c r="G19" i="21"/>
  <c r="C19" i="26"/>
  <c r="B19" i="26"/>
  <c r="U9" i="10"/>
  <c r="U6" i="10"/>
  <c r="Z5" i="10"/>
  <c r="V9" i="10"/>
  <c r="B42" i="29" l="1"/>
  <c r="B45" i="29"/>
  <c r="B44" i="29"/>
  <c r="B43" i="29"/>
  <c r="D33" i="29"/>
  <c r="B34" i="29"/>
  <c r="N33" i="21"/>
  <c r="B29" i="29"/>
  <c r="F48" i="21"/>
  <c r="F44" i="21"/>
  <c r="G30" i="21"/>
  <c r="U17" i="35"/>
  <c r="U12" i="35"/>
  <c r="U14" i="35"/>
  <c r="U16" i="35" s="1"/>
  <c r="U11" i="35"/>
  <c r="U10" i="35"/>
  <c r="O13" i="35" l="1"/>
  <c r="H12" i="35"/>
  <c r="G12" i="35"/>
  <c r="I12" i="35" s="1"/>
  <c r="F14" i="35" s="1"/>
  <c r="O11" i="35"/>
  <c r="H11" i="35"/>
  <c r="G11" i="35"/>
  <c r="H10" i="35"/>
  <c r="G10" i="35"/>
  <c r="I10" i="35" s="1"/>
  <c r="O4" i="35"/>
  <c r="B7" i="21"/>
  <c r="B10" i="21"/>
  <c r="I11" i="35" l="1"/>
  <c r="T39" i="26"/>
  <c r="N34" i="26"/>
  <c r="L58" i="29"/>
  <c r="O4" i="29"/>
  <c r="P51" i="29"/>
  <c r="P50" i="29"/>
  <c r="L49" i="29"/>
  <c r="L48" i="29"/>
  <c r="L9" i="29" l="1"/>
  <c r="L10" i="29"/>
  <c r="M37" i="29"/>
  <c r="B24" i="10" l="1"/>
  <c r="H3" i="34" l="1"/>
  <c r="I3" i="34" s="1"/>
  <c r="J54" i="34"/>
  <c r="J57" i="34" s="1"/>
  <c r="K39" i="34"/>
  <c r="K40" i="34" s="1"/>
  <c r="K41" i="34" s="1"/>
  <c r="J39" i="34"/>
  <c r="J40" i="34" s="1"/>
  <c r="I39" i="34"/>
  <c r="I40" i="34" s="1"/>
  <c r="I41" i="34" s="1"/>
  <c r="H39" i="34"/>
  <c r="H40" i="34" s="1"/>
  <c r="H41" i="34" s="1"/>
  <c r="G39" i="34"/>
  <c r="G40" i="34" s="1"/>
  <c r="F39" i="34"/>
  <c r="F40" i="34" s="1"/>
  <c r="E39" i="34"/>
  <c r="E40" i="34" s="1"/>
  <c r="E41" i="34" s="1"/>
  <c r="D39" i="34"/>
  <c r="D40" i="34" s="1"/>
  <c r="D41" i="34" s="1"/>
  <c r="C39" i="34"/>
  <c r="C40" i="34" s="1"/>
  <c r="B39" i="34"/>
  <c r="B40" i="34" s="1"/>
  <c r="V30" i="34"/>
  <c r="V61" i="34" s="1"/>
  <c r="V62" i="34" s="1"/>
  <c r="U30" i="34"/>
  <c r="U61" i="34" s="1"/>
  <c r="U62" i="34" s="1"/>
  <c r="T30" i="34"/>
  <c r="T61" i="34" s="1"/>
  <c r="T62" i="34" s="1"/>
  <c r="S30" i="34"/>
  <c r="S61" i="34" s="1"/>
  <c r="S62" i="34" s="1"/>
  <c r="R30" i="34"/>
  <c r="R61" i="34" s="1"/>
  <c r="R62" i="34" s="1"/>
  <c r="Q30" i="34"/>
  <c r="Q61" i="34" s="1"/>
  <c r="Q62" i="34" s="1"/>
  <c r="P30" i="34"/>
  <c r="P61" i="34" s="1"/>
  <c r="P62" i="34" s="1"/>
  <c r="O30" i="34"/>
  <c r="O61" i="34" s="1"/>
  <c r="O62" i="34" s="1"/>
  <c r="N30" i="34"/>
  <c r="N61" i="34" s="1"/>
  <c r="N62" i="34" s="1"/>
  <c r="V29" i="34"/>
  <c r="V59" i="34" s="1"/>
  <c r="V60" i="34" s="1"/>
  <c r="U29" i="34"/>
  <c r="U59" i="34" s="1"/>
  <c r="U60" i="34" s="1"/>
  <c r="T29" i="34"/>
  <c r="T59" i="34" s="1"/>
  <c r="T60" i="34" s="1"/>
  <c r="S29" i="34"/>
  <c r="S59" i="34" s="1"/>
  <c r="S60" i="34" s="1"/>
  <c r="R29" i="34"/>
  <c r="R59" i="34" s="1"/>
  <c r="R60" i="34" s="1"/>
  <c r="Q29" i="34"/>
  <c r="Q59" i="34" s="1"/>
  <c r="Q60" i="34" s="1"/>
  <c r="P29" i="34"/>
  <c r="P59" i="34" s="1"/>
  <c r="P60" i="34" s="1"/>
  <c r="O29" i="34"/>
  <c r="O59" i="34" s="1"/>
  <c r="O60" i="34" s="1"/>
  <c r="N29" i="34"/>
  <c r="N59" i="34" s="1"/>
  <c r="N60" i="34" s="1"/>
  <c r="V28" i="34"/>
  <c r="U28" i="34"/>
  <c r="U38" i="34" s="1"/>
  <c r="T28" i="34"/>
  <c r="S28" i="34"/>
  <c r="R28" i="34"/>
  <c r="Q28" i="34"/>
  <c r="Q38" i="34" s="1"/>
  <c r="P28" i="34"/>
  <c r="O28" i="34"/>
  <c r="N28" i="34"/>
  <c r="K28" i="34"/>
  <c r="J28" i="34"/>
  <c r="V52" i="34" s="1"/>
  <c r="I28" i="34"/>
  <c r="H28" i="34"/>
  <c r="G28" i="34"/>
  <c r="F28" i="34"/>
  <c r="R52" i="34" s="1"/>
  <c r="E28" i="34"/>
  <c r="D28" i="34"/>
  <c r="C28" i="34"/>
  <c r="B28" i="34"/>
  <c r="N52" i="34" s="1"/>
  <c r="K22" i="34"/>
  <c r="K29" i="34" s="1"/>
  <c r="J22" i="34"/>
  <c r="I22" i="34"/>
  <c r="H22" i="34"/>
  <c r="G22" i="34"/>
  <c r="F22" i="34"/>
  <c r="E22" i="34"/>
  <c r="D22" i="34"/>
  <c r="C22" i="34"/>
  <c r="C29" i="34" s="1"/>
  <c r="B22" i="34"/>
  <c r="W19" i="34"/>
  <c r="V19" i="34"/>
  <c r="U19" i="34"/>
  <c r="T19" i="34"/>
  <c r="S19" i="34"/>
  <c r="R19" i="34"/>
  <c r="Q19" i="34"/>
  <c r="P19" i="34"/>
  <c r="O19" i="34"/>
  <c r="N19" i="34"/>
  <c r="W18" i="34"/>
  <c r="V18" i="34"/>
  <c r="U18" i="34"/>
  <c r="T18" i="34"/>
  <c r="S18" i="34"/>
  <c r="R18" i="34"/>
  <c r="Q18" i="34"/>
  <c r="P18" i="34"/>
  <c r="O18" i="34"/>
  <c r="N18" i="34"/>
  <c r="W17" i="34"/>
  <c r="V17" i="34"/>
  <c r="U17" i="34"/>
  <c r="T17" i="34"/>
  <c r="S17" i="34"/>
  <c r="R17" i="34"/>
  <c r="Q17" i="34"/>
  <c r="P17" i="34"/>
  <c r="O17" i="34"/>
  <c r="N17" i="34"/>
  <c r="W16" i="34"/>
  <c r="V16" i="34"/>
  <c r="U16" i="34"/>
  <c r="T16" i="34"/>
  <c r="S16" i="34"/>
  <c r="R16" i="34"/>
  <c r="Q16" i="34"/>
  <c r="P16" i="34"/>
  <c r="O16" i="34"/>
  <c r="W15" i="34"/>
  <c r="W22" i="34" s="1"/>
  <c r="V15" i="34"/>
  <c r="V22" i="34" s="1"/>
  <c r="U15" i="34"/>
  <c r="T15" i="34"/>
  <c r="S15" i="34"/>
  <c r="S22" i="34" s="1"/>
  <c r="R15" i="34"/>
  <c r="Q15" i="34"/>
  <c r="P15" i="34"/>
  <c r="O15" i="34"/>
  <c r="O22" i="34" s="1"/>
  <c r="N15" i="34"/>
  <c r="N22" i="34" s="1"/>
  <c r="K11" i="34"/>
  <c r="K14" i="34" s="1"/>
  <c r="J11" i="34"/>
  <c r="J14" i="34" s="1"/>
  <c r="I11" i="34"/>
  <c r="I14" i="34" s="1"/>
  <c r="H11" i="34"/>
  <c r="H14" i="34" s="1"/>
  <c r="G11" i="34"/>
  <c r="G14" i="34" s="1"/>
  <c r="F11" i="34"/>
  <c r="F14" i="34" s="1"/>
  <c r="E11" i="34"/>
  <c r="E14" i="34" s="1"/>
  <c r="D11" i="34"/>
  <c r="D14" i="34" s="1"/>
  <c r="C11" i="34"/>
  <c r="C14" i="34" s="1"/>
  <c r="B11" i="34"/>
  <c r="B14" i="34" s="1"/>
  <c r="W8" i="34"/>
  <c r="V8" i="34"/>
  <c r="U8" i="34"/>
  <c r="T8" i="34"/>
  <c r="S8" i="34"/>
  <c r="R8" i="34"/>
  <c r="Q8" i="34"/>
  <c r="P8" i="34"/>
  <c r="O8" i="34"/>
  <c r="N8" i="34"/>
  <c r="W7" i="34"/>
  <c r="V7" i="34"/>
  <c r="U7" i="34"/>
  <c r="T7" i="34"/>
  <c r="S7" i="34"/>
  <c r="R7" i="34"/>
  <c r="Q7" i="34"/>
  <c r="P7" i="34"/>
  <c r="O7" i="34"/>
  <c r="T40" i="24"/>
  <c r="U28" i="24"/>
  <c r="V28" i="24"/>
  <c r="W28" i="24"/>
  <c r="X28" i="24"/>
  <c r="V25" i="24"/>
  <c r="W25" i="24" s="1"/>
  <c r="X25" i="24" s="1"/>
  <c r="U25" i="24"/>
  <c r="T28" i="24"/>
  <c r="N19" i="24"/>
  <c r="N17" i="24"/>
  <c r="B29" i="24"/>
  <c r="B32" i="24"/>
  <c r="B33" i="24" s="1"/>
  <c r="B31" i="29"/>
  <c r="I7" i="26"/>
  <c r="H7" i="10"/>
  <c r="I7" i="10"/>
  <c r="J7" i="10"/>
  <c r="K7" i="10"/>
  <c r="G7" i="10"/>
  <c r="N9" i="34" l="1"/>
  <c r="P22" i="34"/>
  <c r="T22" i="34"/>
  <c r="T53" i="34"/>
  <c r="Q53" i="34"/>
  <c r="U53" i="34"/>
  <c r="R22" i="34"/>
  <c r="P52" i="34"/>
  <c r="P53" i="34"/>
  <c r="Q22" i="34"/>
  <c r="U22" i="34"/>
  <c r="D29" i="34"/>
  <c r="O25" i="34" s="1"/>
  <c r="O36" i="34" s="1"/>
  <c r="H29" i="34"/>
  <c r="E29" i="34"/>
  <c r="I29" i="34"/>
  <c r="D43" i="34"/>
  <c r="Q9" i="34"/>
  <c r="U9" i="34"/>
  <c r="W20" i="34"/>
  <c r="B29" i="34"/>
  <c r="N54" i="34" s="1"/>
  <c r="F29" i="34"/>
  <c r="J29" i="34"/>
  <c r="V54" i="34" s="1"/>
  <c r="R9" i="34"/>
  <c r="V9" i="34"/>
  <c r="G29" i="34"/>
  <c r="N53" i="34"/>
  <c r="I49" i="34"/>
  <c r="I54" i="34" s="1"/>
  <c r="I43" i="34"/>
  <c r="V27" i="34"/>
  <c r="V39" i="34" s="1"/>
  <c r="O9" i="34"/>
  <c r="S9" i="34"/>
  <c r="W9" i="34"/>
  <c r="U20" i="34"/>
  <c r="U55" i="34" s="1"/>
  <c r="S27" i="34"/>
  <c r="S39" i="34" s="1"/>
  <c r="T52" i="34"/>
  <c r="V53" i="34"/>
  <c r="Q27" i="34"/>
  <c r="Q39" i="34" s="1"/>
  <c r="R53" i="34"/>
  <c r="P9" i="34"/>
  <c r="T9" i="34"/>
  <c r="N27" i="34"/>
  <c r="P46" i="34"/>
  <c r="D17" i="34"/>
  <c r="P6" i="34"/>
  <c r="T46" i="34"/>
  <c r="H17" i="34"/>
  <c r="T6" i="34"/>
  <c r="Q46" i="34"/>
  <c r="E17" i="34"/>
  <c r="Q6" i="34"/>
  <c r="U46" i="34"/>
  <c r="I17" i="34"/>
  <c r="U6" i="34"/>
  <c r="C41" i="34"/>
  <c r="N46" i="34"/>
  <c r="B17" i="34"/>
  <c r="N10" i="34"/>
  <c r="R46" i="34"/>
  <c r="R6" i="34"/>
  <c r="F17" i="34"/>
  <c r="V46" i="34"/>
  <c r="J17" i="34"/>
  <c r="V6" i="34"/>
  <c r="O6" i="34"/>
  <c r="C17" i="34"/>
  <c r="O46" i="34"/>
  <c r="S6" i="34"/>
  <c r="S12" i="34" s="1"/>
  <c r="S46" i="34"/>
  <c r="G17" i="34"/>
  <c r="W6" i="34"/>
  <c r="W10" i="34" s="1"/>
  <c r="K17" i="34"/>
  <c r="H43" i="34"/>
  <c r="R27" i="34"/>
  <c r="R39" i="34" s="1"/>
  <c r="B41" i="34"/>
  <c r="J41" i="34"/>
  <c r="K43" i="34"/>
  <c r="R54" i="34"/>
  <c r="R20" i="34"/>
  <c r="R55" i="34" s="1"/>
  <c r="P54" i="34"/>
  <c r="P27" i="34"/>
  <c r="P39" i="34" s="1"/>
  <c r="T54" i="34"/>
  <c r="T27" i="34"/>
  <c r="P20" i="34"/>
  <c r="P55" i="34" s="1"/>
  <c r="T20" i="34"/>
  <c r="N39" i="34"/>
  <c r="G41" i="34"/>
  <c r="Q20" i="34"/>
  <c r="Q26" i="34" s="1"/>
  <c r="Q47" i="34" s="1"/>
  <c r="F41" i="34"/>
  <c r="V55" i="34"/>
  <c r="N20" i="34"/>
  <c r="V20" i="34"/>
  <c r="V26" i="34" s="1"/>
  <c r="V47" i="34" s="1"/>
  <c r="T25" i="34"/>
  <c r="T36" i="34" s="1"/>
  <c r="T39" i="34"/>
  <c r="H49" i="34"/>
  <c r="H54" i="34" s="1"/>
  <c r="I57" i="34"/>
  <c r="U54" i="34"/>
  <c r="O54" i="34"/>
  <c r="S54" i="34"/>
  <c r="O20" i="34"/>
  <c r="S20" i="34"/>
  <c r="S55" i="34" s="1"/>
  <c r="O27" i="34"/>
  <c r="O39" i="34" s="1"/>
  <c r="U27" i="34"/>
  <c r="U39" i="34" s="1"/>
  <c r="O52" i="34"/>
  <c r="O53" i="34"/>
  <c r="S52" i="34"/>
  <c r="S53" i="34"/>
  <c r="N38" i="34"/>
  <c r="R38" i="34"/>
  <c r="V38" i="34"/>
  <c r="Q52" i="34"/>
  <c r="U52" i="34"/>
  <c r="O38" i="34"/>
  <c r="S38" i="34"/>
  <c r="P38" i="34"/>
  <c r="T38" i="34"/>
  <c r="D1" i="26"/>
  <c r="V12" i="34" l="1"/>
  <c r="U12" i="34"/>
  <c r="V25" i="34"/>
  <c r="V36" i="34" s="1"/>
  <c r="P25" i="34"/>
  <c r="P36" i="34" s="1"/>
  <c r="T26" i="34"/>
  <c r="T47" i="34" s="1"/>
  <c r="Q54" i="34"/>
  <c r="S25" i="34"/>
  <c r="S36" i="34" s="1"/>
  <c r="R25" i="34"/>
  <c r="R36" i="34" s="1"/>
  <c r="E43" i="34"/>
  <c r="N25" i="34"/>
  <c r="N36" i="34" s="1"/>
  <c r="U25" i="34"/>
  <c r="U36" i="34" s="1"/>
  <c r="Q25" i="34"/>
  <c r="Q36" i="34" s="1"/>
  <c r="T12" i="34"/>
  <c r="V48" i="34"/>
  <c r="Q12" i="34"/>
  <c r="N26" i="34"/>
  <c r="N47" i="34" s="1"/>
  <c r="N48" i="34" s="1"/>
  <c r="W12" i="34"/>
  <c r="S26" i="34"/>
  <c r="S47" i="34" s="1"/>
  <c r="S48" i="34" s="1"/>
  <c r="P26" i="34"/>
  <c r="O26" i="34"/>
  <c r="O12" i="34"/>
  <c r="G49" i="34"/>
  <c r="G54" i="34" s="1"/>
  <c r="H57" i="34"/>
  <c r="N55" i="34"/>
  <c r="G43" i="34"/>
  <c r="B43" i="34"/>
  <c r="T48" i="34"/>
  <c r="V37" i="34"/>
  <c r="U34" i="34"/>
  <c r="U10" i="34"/>
  <c r="U35" i="34" s="1"/>
  <c r="Q37" i="34"/>
  <c r="S34" i="34"/>
  <c r="S10" i="34"/>
  <c r="S35" i="34" s="1"/>
  <c r="Q34" i="34"/>
  <c r="Q10" i="34"/>
  <c r="Q35" i="34" s="1"/>
  <c r="O55" i="34"/>
  <c r="F43" i="34"/>
  <c r="T55" i="34"/>
  <c r="J43" i="34"/>
  <c r="Q55" i="34"/>
  <c r="R34" i="34"/>
  <c r="R10" i="34"/>
  <c r="R35" i="34" s="1"/>
  <c r="R12" i="34"/>
  <c r="Q48" i="34"/>
  <c r="P34" i="34"/>
  <c r="P10" i="34"/>
  <c r="P35" i="34" s="1"/>
  <c r="R26" i="34"/>
  <c r="U26" i="34"/>
  <c r="O34" i="34"/>
  <c r="O10" i="34"/>
  <c r="O35" i="34" s="1"/>
  <c r="V34" i="34"/>
  <c r="V10" i="34"/>
  <c r="V35" i="34" s="1"/>
  <c r="N35" i="34"/>
  <c r="N34" i="34"/>
  <c r="N12" i="34"/>
  <c r="C43" i="34"/>
  <c r="T34" i="34"/>
  <c r="T10" i="34"/>
  <c r="T35" i="34" s="1"/>
  <c r="P12" i="34"/>
  <c r="D26" i="32"/>
  <c r="C26" i="32"/>
  <c r="D19" i="32"/>
  <c r="D27" i="32" s="1"/>
  <c r="C19" i="32"/>
  <c r="I16" i="32"/>
  <c r="L10" i="32"/>
  <c r="J10" i="32"/>
  <c r="I10" i="32"/>
  <c r="H10" i="32"/>
  <c r="D10" i="32"/>
  <c r="D12" i="32" s="1"/>
  <c r="C10" i="32"/>
  <c r="C12" i="32" s="1"/>
  <c r="J9" i="32"/>
  <c r="I9" i="32"/>
  <c r="H9" i="32"/>
  <c r="J8" i="32"/>
  <c r="I8" i="32"/>
  <c r="H8" i="32"/>
  <c r="H7" i="32"/>
  <c r="I9" i="26"/>
  <c r="I40" i="26" s="1"/>
  <c r="I41" i="26" s="1"/>
  <c r="AE21" i="24"/>
  <c r="AE22" i="24"/>
  <c r="AI19" i="24"/>
  <c r="S92" i="24"/>
  <c r="S46" i="24"/>
  <c r="S90" i="24"/>
  <c r="S89" i="24"/>
  <c r="S88" i="24"/>
  <c r="S87" i="24"/>
  <c r="S86" i="24"/>
  <c r="S85" i="24"/>
  <c r="S84" i="24"/>
  <c r="S42" i="24"/>
  <c r="S44" i="24" s="1"/>
  <c r="K29" i="24"/>
  <c r="S41" i="24"/>
  <c r="S40" i="24"/>
  <c r="S61" i="24"/>
  <c r="U10" i="24"/>
  <c r="V10" i="24"/>
  <c r="W10" i="24"/>
  <c r="X10" i="24"/>
  <c r="T10" i="24"/>
  <c r="U61" i="24"/>
  <c r="K30" i="24"/>
  <c r="K27" i="24"/>
  <c r="K26" i="24"/>
  <c r="B43" i="24"/>
  <c r="B40" i="24"/>
  <c r="B41" i="24" s="1"/>
  <c r="B39" i="24"/>
  <c r="L61" i="29"/>
  <c r="L59" i="29"/>
  <c r="L60" i="29" s="1"/>
  <c r="L62" i="29" s="1"/>
  <c r="D34" i="29"/>
  <c r="D35" i="29" s="1"/>
  <c r="T13" i="31"/>
  <c r="B6" i="31"/>
  <c r="B8" i="31" s="1"/>
  <c r="Q14" i="31"/>
  <c r="Q13" i="31"/>
  <c r="I13" i="31"/>
  <c r="G13" i="31"/>
  <c r="Q12" i="31"/>
  <c r="Q10" i="31"/>
  <c r="T10" i="31" s="1"/>
  <c r="Q9" i="31"/>
  <c r="Q8" i="31"/>
  <c r="R7" i="31"/>
  <c r="Q7" i="31"/>
  <c r="C27" i="32" l="1"/>
  <c r="T37" i="34"/>
  <c r="N37" i="34"/>
  <c r="N40" i="34" s="1"/>
  <c r="P47" i="34"/>
  <c r="P48" i="34" s="1"/>
  <c r="P37" i="34"/>
  <c r="S37" i="34"/>
  <c r="S41" i="34" s="1"/>
  <c r="S42" i="34" s="1"/>
  <c r="O47" i="34"/>
  <c r="O48" i="34" s="1"/>
  <c r="O37" i="34"/>
  <c r="R47" i="34"/>
  <c r="R48" i="34" s="1"/>
  <c r="R37" i="34"/>
  <c r="Q40" i="34"/>
  <c r="Q41" i="34"/>
  <c r="Q42" i="34" s="1"/>
  <c r="V41" i="34"/>
  <c r="V42" i="34" s="1"/>
  <c r="V40" i="34"/>
  <c r="U47" i="34"/>
  <c r="U48" i="34" s="1"/>
  <c r="U37" i="34"/>
  <c r="T41" i="34"/>
  <c r="T42" i="34" s="1"/>
  <c r="T40" i="34"/>
  <c r="F49" i="34"/>
  <c r="F54" i="34" s="1"/>
  <c r="G57" i="34"/>
  <c r="I7" i="32"/>
  <c r="I11" i="32" s="1"/>
  <c r="C28" i="32"/>
  <c r="J7" i="32"/>
  <c r="J11" i="32" s="1"/>
  <c r="D28" i="32"/>
  <c r="K28" i="24"/>
  <c r="T14" i="31"/>
  <c r="Q15" i="31"/>
  <c r="R8" i="31"/>
  <c r="S8" i="31" s="1"/>
  <c r="R9" i="31"/>
  <c r="S9" i="31" s="1"/>
  <c r="T9" i="31" s="1"/>
  <c r="S7" i="31"/>
  <c r="T7" i="31" s="1"/>
  <c r="Q11" i="31"/>
  <c r="N41" i="34" l="1"/>
  <c r="N42" i="34" s="1"/>
  <c r="S40" i="34"/>
  <c r="P40" i="34"/>
  <c r="P41" i="34"/>
  <c r="P42" i="34" s="1"/>
  <c r="O40" i="34"/>
  <c r="O41" i="34"/>
  <c r="O42" i="34" s="1"/>
  <c r="U40" i="34"/>
  <c r="U41" i="34"/>
  <c r="U42" i="34" s="1"/>
  <c r="F57" i="34"/>
  <c r="E49" i="34"/>
  <c r="E54" i="34" s="1"/>
  <c r="R41" i="34"/>
  <c r="R42" i="34" s="1"/>
  <c r="R40" i="34"/>
  <c r="I12" i="32"/>
  <c r="I18" i="32" s="1"/>
  <c r="R11" i="31"/>
  <c r="S11" i="31"/>
  <c r="T8" i="31"/>
  <c r="D49" i="34" l="1"/>
  <c r="D54" i="34" s="1"/>
  <c r="E57" i="34"/>
  <c r="T11" i="31"/>
  <c r="T12" i="31" s="1"/>
  <c r="R15" i="31" s="1"/>
  <c r="C49" i="34" l="1"/>
  <c r="C54" i="34" s="1"/>
  <c r="D57" i="34"/>
  <c r="Q17" i="31"/>
  <c r="B49" i="34" l="1"/>
  <c r="B54" i="34" s="1"/>
  <c r="B57" i="34" s="1"/>
  <c r="C57" i="34"/>
  <c r="I8" i="26"/>
  <c r="I38" i="26" s="1"/>
  <c r="I39" i="26" s="1"/>
  <c r="N29" i="29" l="1"/>
  <c r="O29" i="29" s="1"/>
  <c r="O28" i="29"/>
  <c r="P5" i="10"/>
  <c r="G8" i="10"/>
  <c r="B18" i="10"/>
  <c r="B12" i="10"/>
  <c r="R15" i="21"/>
  <c r="O30" i="29" l="1"/>
  <c r="G13" i="30"/>
  <c r="D13" i="30"/>
  <c r="B13" i="10"/>
  <c r="Z15" i="29"/>
  <c r="Y15" i="29"/>
  <c r="X15" i="29"/>
  <c r="W15" i="29"/>
  <c r="M36" i="29"/>
  <c r="N28" i="29"/>
  <c r="N14" i="29"/>
  <c r="M14" i="29"/>
  <c r="N5" i="29"/>
  <c r="M5" i="29"/>
  <c r="M4" i="29" l="1"/>
  <c r="L6" i="29"/>
  <c r="L8" i="29" s="1"/>
  <c r="M7" i="29"/>
  <c r="N7" i="29" s="1"/>
  <c r="W8" i="29"/>
  <c r="W16" i="29" s="1"/>
  <c r="W17" i="29" s="1"/>
  <c r="O14" i="29"/>
  <c r="B15" i="29"/>
  <c r="M15" i="29"/>
  <c r="B16" i="29"/>
  <c r="M16" i="29"/>
  <c r="N16" i="29" s="1"/>
  <c r="B17" i="29"/>
  <c r="B23" i="29" s="1"/>
  <c r="L17" i="29"/>
  <c r="L18" i="29" s="1"/>
  <c r="B18" i="29"/>
  <c r="B20" i="29"/>
  <c r="M20" i="29"/>
  <c r="N20" i="29" s="1"/>
  <c r="O20" i="29" s="1"/>
  <c r="M21" i="29"/>
  <c r="B22" i="29"/>
  <c r="M22" i="29"/>
  <c r="N22" i="29" s="1"/>
  <c r="A23" i="29"/>
  <c r="L23" i="29"/>
  <c r="L24" i="29" s="1"/>
  <c r="L51" i="29"/>
  <c r="S9" i="24"/>
  <c r="S65" i="24" s="1"/>
  <c r="T9" i="24"/>
  <c r="T11" i="24" s="1"/>
  <c r="U9" i="24"/>
  <c r="V9" i="24"/>
  <c r="V11" i="24" s="1"/>
  <c r="W9" i="24"/>
  <c r="W65" i="24" s="1"/>
  <c r="X9" i="24"/>
  <c r="X11" i="24" s="1"/>
  <c r="W11" i="24"/>
  <c r="K12" i="24"/>
  <c r="B14" i="24"/>
  <c r="AF14" i="24"/>
  <c r="AG15" i="24" s="1"/>
  <c r="AG16" i="24" s="1"/>
  <c r="L15" i="24"/>
  <c r="M15" i="24"/>
  <c r="AF15" i="24"/>
  <c r="AF16" i="24" s="1"/>
  <c r="K16" i="24"/>
  <c r="B18" i="24"/>
  <c r="C18" i="24" s="1"/>
  <c r="C25" i="24" s="1"/>
  <c r="C28" i="24" s="1"/>
  <c r="S18" i="24"/>
  <c r="T18" i="24"/>
  <c r="T19" i="24" s="1"/>
  <c r="T22" i="24" s="1"/>
  <c r="T66" i="24" s="1"/>
  <c r="U18" i="24"/>
  <c r="U19" i="24" s="1"/>
  <c r="U22" i="24" s="1"/>
  <c r="U66" i="24" s="1"/>
  <c r="V18" i="24"/>
  <c r="W18" i="24"/>
  <c r="W19" i="24" s="1"/>
  <c r="W22" i="24" s="1"/>
  <c r="W66" i="24" s="1"/>
  <c r="X18" i="24"/>
  <c r="X19" i="24" s="1"/>
  <c r="X22" i="24" s="1"/>
  <c r="X66" i="24" s="1"/>
  <c r="S19" i="24"/>
  <c r="S22" i="24" s="1"/>
  <c r="S66" i="24" s="1"/>
  <c r="V19" i="24"/>
  <c r="V22" i="24" s="1"/>
  <c r="V66" i="24" s="1"/>
  <c r="B22" i="24"/>
  <c r="AE23" i="24"/>
  <c r="AE26" i="24"/>
  <c r="U60" i="24"/>
  <c r="X65" i="24"/>
  <c r="S74" i="24"/>
  <c r="S76" i="24" s="1"/>
  <c r="B6" i="10"/>
  <c r="G6" i="10"/>
  <c r="H6" i="10"/>
  <c r="I6" i="10"/>
  <c r="J6" i="10"/>
  <c r="K6" i="10"/>
  <c r="B7" i="10"/>
  <c r="G13" i="10"/>
  <c r="G14" i="10" s="1"/>
  <c r="H13" i="10"/>
  <c r="H14" i="10" s="1"/>
  <c r="I13" i="10"/>
  <c r="I14" i="10" s="1"/>
  <c r="J13" i="10"/>
  <c r="J14" i="10" s="1"/>
  <c r="K13" i="10"/>
  <c r="K14" i="10" s="1"/>
  <c r="B19" i="10"/>
  <c r="B25" i="10"/>
  <c r="B5" i="30"/>
  <c r="C30" i="30" s="1"/>
  <c r="D27" i="30" s="1"/>
  <c r="C10" i="30"/>
  <c r="G10" i="30"/>
  <c r="C11" i="30"/>
  <c r="D11" i="30"/>
  <c r="E11" i="30"/>
  <c r="F11" i="30"/>
  <c r="F18" i="30" s="1"/>
  <c r="G11" i="30"/>
  <c r="H11" i="30"/>
  <c r="I11" i="30"/>
  <c r="J11" i="30"/>
  <c r="K11" i="30"/>
  <c r="L11" i="30"/>
  <c r="Q12" i="30"/>
  <c r="Q13" i="30"/>
  <c r="Q14" i="30"/>
  <c r="F16" i="30"/>
  <c r="G16" i="30" s="1"/>
  <c r="Q20" i="30"/>
  <c r="Q22" i="30"/>
  <c r="Q23" i="30"/>
  <c r="C27" i="30"/>
  <c r="C28" i="30"/>
  <c r="D28" i="30"/>
  <c r="E28" i="30"/>
  <c r="F28" i="30"/>
  <c r="F35" i="30" s="1"/>
  <c r="G28" i="30"/>
  <c r="G35" i="30" s="1"/>
  <c r="H28" i="30"/>
  <c r="I28" i="30"/>
  <c r="J28" i="30"/>
  <c r="K28" i="30"/>
  <c r="L28" i="30"/>
  <c r="F33" i="30"/>
  <c r="F36" i="30"/>
  <c r="B8" i="26"/>
  <c r="B13" i="26" s="1"/>
  <c r="C8" i="26"/>
  <c r="C13" i="26" s="1"/>
  <c r="C17" i="26" s="1"/>
  <c r="O12" i="26"/>
  <c r="O13" i="26"/>
  <c r="O18" i="26"/>
  <c r="O22" i="26"/>
  <c r="C27" i="26"/>
  <c r="D28" i="26" s="1"/>
  <c r="E27" i="26"/>
  <c r="F28" i="26" s="1"/>
  <c r="D32" i="26"/>
  <c r="F32" i="26"/>
  <c r="D40" i="26"/>
  <c r="F40" i="26"/>
  <c r="D46" i="26"/>
  <c r="F46" i="26"/>
  <c r="D50" i="26"/>
  <c r="F50" i="26"/>
  <c r="D54" i="26"/>
  <c r="F54" i="26"/>
  <c r="B4" i="21"/>
  <c r="G9" i="21"/>
  <c r="G14" i="21"/>
  <c r="P15" i="21"/>
  <c r="Q13" i="21" s="1"/>
  <c r="R13" i="21" s="1"/>
  <c r="G18" i="21"/>
  <c r="P30" i="21"/>
  <c r="Q29" i="21" s="1"/>
  <c r="R29" i="21" s="1"/>
  <c r="P24" i="21"/>
  <c r="Q19" i="21" s="1"/>
  <c r="G31" i="21"/>
  <c r="I31" i="21"/>
  <c r="G32" i="21"/>
  <c r="I32" i="21"/>
  <c r="G33" i="21"/>
  <c r="F55" i="26" l="1"/>
  <c r="I6" i="26"/>
  <c r="I19" i="26" s="1"/>
  <c r="G15" i="10"/>
  <c r="G17" i="10" s="1"/>
  <c r="I33" i="26"/>
  <c r="F33" i="26"/>
  <c r="D55" i="26"/>
  <c r="I5" i="26" s="1"/>
  <c r="I27" i="26" s="1"/>
  <c r="D33" i="26"/>
  <c r="I4" i="26" s="1"/>
  <c r="C21" i="26"/>
  <c r="W12" i="24"/>
  <c r="W13" i="24" s="1"/>
  <c r="W27" i="24" s="1"/>
  <c r="X12" i="24"/>
  <c r="X13" i="24" s="1"/>
  <c r="X27" i="24" s="1"/>
  <c r="Y27" i="24" s="1"/>
  <c r="S29" i="24" s="1"/>
  <c r="S30" i="24" s="1"/>
  <c r="V12" i="24"/>
  <c r="V13" i="24" s="1"/>
  <c r="V27" i="24" s="1"/>
  <c r="T12" i="24"/>
  <c r="T13" i="24" s="1"/>
  <c r="T27" i="24" s="1"/>
  <c r="D30" i="30"/>
  <c r="E27" i="30" s="1"/>
  <c r="G34" i="21"/>
  <c r="J30" i="21" s="1"/>
  <c r="Q22" i="21"/>
  <c r="R22" i="21" s="1"/>
  <c r="I35" i="26"/>
  <c r="O14" i="26"/>
  <c r="O16" i="26" s="1"/>
  <c r="O20" i="26" s="1"/>
  <c r="Q15" i="21"/>
  <c r="Q28" i="21"/>
  <c r="R28" i="21" s="1"/>
  <c r="R30" i="21" s="1"/>
  <c r="Q12" i="21"/>
  <c r="R12" i="21" s="1"/>
  <c r="I18" i="26"/>
  <c r="I32" i="26"/>
  <c r="Q24" i="21"/>
  <c r="Q21" i="21"/>
  <c r="R21" i="21" s="1"/>
  <c r="Q26" i="21"/>
  <c r="Q14" i="21"/>
  <c r="R14" i="21" s="1"/>
  <c r="Q15" i="30"/>
  <c r="T65" i="24"/>
  <c r="M17" i="29"/>
  <c r="Q23" i="21"/>
  <c r="R23" i="21" s="1"/>
  <c r="R24" i="21" s="1"/>
  <c r="C13" i="30"/>
  <c r="D10" i="30" s="1"/>
  <c r="S73" i="24"/>
  <c r="S31" i="24"/>
  <c r="D18" i="24"/>
  <c r="S11" i="24"/>
  <c r="S13" i="24" s="1"/>
  <c r="M41" i="29"/>
  <c r="B19" i="29"/>
  <c r="B21" i="29" s="1"/>
  <c r="B24" i="29" s="1"/>
  <c r="C29" i="29" s="1"/>
  <c r="M23" i="29"/>
  <c r="M24" i="29" s="1"/>
  <c r="Q24" i="30"/>
  <c r="V65" i="24"/>
  <c r="E18" i="24"/>
  <c r="N4" i="29"/>
  <c r="M6" i="29"/>
  <c r="M8" i="29" s="1"/>
  <c r="L16" i="24"/>
  <c r="K18" i="24"/>
  <c r="K19" i="24" s="1"/>
  <c r="Y16" i="29"/>
  <c r="Y17" i="29" s="1"/>
  <c r="N36" i="29"/>
  <c r="O7" i="29"/>
  <c r="O36" i="29" s="1"/>
  <c r="G33" i="30"/>
  <c r="G37" i="30" s="1"/>
  <c r="F37" i="30"/>
  <c r="O16" i="29"/>
  <c r="O37" i="29" s="1"/>
  <c r="N37" i="29"/>
  <c r="O41" i="29"/>
  <c r="C22" i="24"/>
  <c r="D22" i="24" s="1"/>
  <c r="N41" i="29"/>
  <c r="I10" i="26"/>
  <c r="B17" i="26"/>
  <c r="I26" i="26"/>
  <c r="H10" i="30"/>
  <c r="H13" i="30" s="1"/>
  <c r="I10" i="30" s="1"/>
  <c r="I13" i="30" s="1"/>
  <c r="J10" i="30" s="1"/>
  <c r="J13" i="30" s="1"/>
  <c r="K10" i="30" s="1"/>
  <c r="K13" i="30" s="1"/>
  <c r="L10" i="30" s="1"/>
  <c r="L13" i="30" s="1"/>
  <c r="G18" i="30"/>
  <c r="G20" i="30" s="1"/>
  <c r="L17" i="24"/>
  <c r="L18" i="24" s="1"/>
  <c r="L19" i="24" s="1"/>
  <c r="U65" i="24"/>
  <c r="U11" i="24"/>
  <c r="O22" i="29"/>
  <c r="O39" i="29" s="1"/>
  <c r="N39" i="29"/>
  <c r="Q10" i="21"/>
  <c r="AG14" i="24"/>
  <c r="M38" i="29"/>
  <c r="N21" i="29"/>
  <c r="M18" i="29"/>
  <c r="X16" i="29"/>
  <c r="X17" i="29" s="1"/>
  <c r="N15" i="29"/>
  <c r="I34" i="26" l="1"/>
  <c r="I28" i="26"/>
  <c r="Q30" i="21"/>
  <c r="H31" i="21"/>
  <c r="J31" i="21" s="1"/>
  <c r="H32" i="21"/>
  <c r="J32" i="21" s="1"/>
  <c r="N31" i="26"/>
  <c r="U13" i="24"/>
  <c r="U27" i="24" s="1"/>
  <c r="U12" i="24"/>
  <c r="S28" i="24"/>
  <c r="S32" i="24" s="1"/>
  <c r="E30" i="30"/>
  <c r="B30" i="29"/>
  <c r="E22" i="24"/>
  <c r="N23" i="29"/>
  <c r="N24" i="29" s="1"/>
  <c r="O21" i="29"/>
  <c r="O23" i="29" s="1"/>
  <c r="O24" i="29" s="1"/>
  <c r="AH15" i="24"/>
  <c r="AH16" i="24" s="1"/>
  <c r="AH14" i="24"/>
  <c r="D29" i="29"/>
  <c r="C30" i="29"/>
  <c r="M9" i="29"/>
  <c r="M10" i="29" s="1"/>
  <c r="F18" i="24"/>
  <c r="E25" i="24"/>
  <c r="E28" i="24" s="1"/>
  <c r="E13" i="30"/>
  <c r="F10" i="30" s="1"/>
  <c r="F12" i="30" s="1"/>
  <c r="F19" i="30" s="1"/>
  <c r="F20" i="30" s="1"/>
  <c r="E10" i="30"/>
  <c r="M16" i="24"/>
  <c r="M17" i="24"/>
  <c r="N6" i="29"/>
  <c r="N8" i="29" s="1"/>
  <c r="N17" i="29"/>
  <c r="N18" i="29" s="1"/>
  <c r="O15" i="29"/>
  <c r="N38" i="29"/>
  <c r="B21" i="26"/>
  <c r="I16" i="26"/>
  <c r="I17" i="26"/>
  <c r="Z16" i="29"/>
  <c r="Z17" i="29" s="1"/>
  <c r="D25" i="24"/>
  <c r="D28" i="24" s="1"/>
  <c r="I48" i="26" l="1"/>
  <c r="C1" i="26"/>
  <c r="I22" i="26"/>
  <c r="I21" i="26"/>
  <c r="J34" i="21"/>
  <c r="H34" i="21"/>
  <c r="S35" i="24"/>
  <c r="S60" i="24"/>
  <c r="M35" i="29"/>
  <c r="M40" i="29" s="1"/>
  <c r="F30" i="30"/>
  <c r="F27" i="30"/>
  <c r="F25" i="24"/>
  <c r="N9" i="29"/>
  <c r="N10" i="29" s="1"/>
  <c r="N35" i="29" s="1"/>
  <c r="N40" i="29" s="1"/>
  <c r="N42" i="29" s="1"/>
  <c r="N47" i="29" s="1"/>
  <c r="N18" i="24"/>
  <c r="M18" i="24"/>
  <c r="M19" i="24" s="1"/>
  <c r="AA17" i="29"/>
  <c r="I20" i="26"/>
  <c r="F28" i="24"/>
  <c r="B35" i="24"/>
  <c r="D30" i="29"/>
  <c r="E29" i="29"/>
  <c r="O38" i="29"/>
  <c r="O17" i="29"/>
  <c r="O18" i="29" s="1"/>
  <c r="O5" i="29"/>
  <c r="O6" i="29" s="1"/>
  <c r="O8" i="29" s="1"/>
  <c r="AI14" i="24"/>
  <c r="AI15" i="24"/>
  <c r="AI16" i="24" s="1"/>
  <c r="G39" i="21" l="1"/>
  <c r="G41" i="21" s="1"/>
  <c r="T60" i="24"/>
  <c r="T61" i="24"/>
  <c r="W21" i="29"/>
  <c r="M42" i="29"/>
  <c r="M47" i="29" s="1"/>
  <c r="G27" i="30"/>
  <c r="G30" i="30"/>
  <c r="K20" i="24"/>
  <c r="O9" i="29"/>
  <c r="O10" i="29" s="1"/>
  <c r="O35" i="29" s="1"/>
  <c r="O40" i="29" s="1"/>
  <c r="O42" i="29" s="1"/>
  <c r="F29" i="29"/>
  <c r="G29" i="29" s="1"/>
  <c r="E30" i="29"/>
  <c r="AE25" i="24"/>
  <c r="AE27" i="24" s="1"/>
  <c r="U62" i="24" l="1"/>
  <c r="H27" i="30"/>
  <c r="H30" i="30"/>
  <c r="F30" i="29"/>
  <c r="O47" i="29"/>
  <c r="T67" i="24" l="1"/>
  <c r="W67" i="24"/>
  <c r="X67" i="24"/>
  <c r="S71" i="24" s="1"/>
  <c r="S72" i="24" s="1"/>
  <c r="V67" i="24"/>
  <c r="U67" i="24"/>
  <c r="L50" i="29"/>
  <c r="L52" i="29" s="1"/>
  <c r="I27" i="30"/>
  <c r="I30" i="30"/>
  <c r="G30" i="29"/>
  <c r="S70" i="24" l="1"/>
  <c r="S75" i="24" s="1"/>
  <c r="S77" i="24" s="1"/>
  <c r="J27" i="30"/>
  <c r="J30" i="30"/>
  <c r="B36" i="29"/>
  <c r="B37" i="29" s="1"/>
  <c r="K27" i="30" l="1"/>
  <c r="K30" i="30"/>
  <c r="L27" i="30" l="1"/>
  <c r="L30" i="30"/>
  <c r="T15"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Isaksson</author>
  </authors>
  <commentList>
    <comment ref="I8" authorId="0" shapeId="0" xr:uid="{00000000-0006-0000-0400-000001000000}">
      <text>
        <r>
          <rPr>
            <b/>
            <sz val="8"/>
            <color indexed="81"/>
            <rFont val="Tahoma"/>
            <family val="2"/>
          </rPr>
          <t>Anders Isaksson:</t>
        </r>
        <r>
          <rPr>
            <sz val="8"/>
            <color indexed="81"/>
            <rFont val="Tahoma"/>
            <family val="2"/>
          </rPr>
          <t xml:space="preserve">
Fel i första versionen</t>
        </r>
      </text>
    </comment>
    <comment ref="I10" authorId="0" shapeId="0" xr:uid="{00000000-0006-0000-0400-000002000000}">
      <text>
        <r>
          <rPr>
            <b/>
            <sz val="8"/>
            <color indexed="81"/>
            <rFont val="Tahoma"/>
            <family val="2"/>
          </rPr>
          <t>Anders Isaksson:</t>
        </r>
        <r>
          <rPr>
            <sz val="8"/>
            <color indexed="81"/>
            <rFont val="Tahoma"/>
            <family val="2"/>
          </rPr>
          <t xml:space="preserve">
Fel i första versionen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tc={2FA377A4-E77E-46BA-A0F1-93C15108F646}</author>
    <author>tc={F92EFCBB-CEF1-49B4-8612-9E77AC83A627}</author>
    <author>tc={4E5840F4-DA59-4ED0-8B6B-E48A3F897260}</author>
    <author>tc={60513E68-B280-4516-A1BD-1F29D69DA918}</author>
    <author>tc={906B7664-75C0-4F8D-B534-49A8018C103A}</author>
  </authors>
  <commentList>
    <comment ref="M3" authorId="0" shapeId="0" xr:uid="{2FA377A4-E77E-46BA-A0F1-93C15108F646}">
      <text>
        <t>[Trådad kommentar]
I din version av Excel kan du läsa den här trådade kommentaren, men eventuella ändringar i den tas bort om filen öppnas i en senare version av Excel. Läs mer: https://go.microsoft.com/fwlink/?linkid=870924
Kommentar:
    Här visas den bolagsskatt som gällde för det beskattningsåret</t>
      </text>
    </comment>
    <comment ref="M12" authorId="1" shapeId="0" xr:uid="{F92EFCBB-CEF1-49B4-8612-9E77AC83A627}">
      <text>
        <t>[Trådad kommentar]
I din version av Excel kan du läsa den här trådade kommentaren, men eventuella ändringar i den tas bort om filen öppnas i en senare version av Excel. Läs mer: https://go.microsoft.com/fwlink/?linkid=870924
Kommentar:
    Vad skall detta heta?</t>
      </text>
    </comment>
    <comment ref="M27" authorId="2" shapeId="0" xr:uid="{4E5840F4-DA59-4ED0-8B6B-E48A3F897260}">
      <text>
        <t>[Trådad kommentar]
I din version av Excel kan du läsa den här trådade kommentaren, men eventuella ändringar i den tas bort om filen öppnas i en senare version av Excel. Läs mer: https://go.microsoft.com/fwlink/?linkid=870924
Kommentar:
    Med "JEK" menas bokfört värde EK + obeskattade reservers andel av EK (OR*(1-s))</t>
      </text>
    </comment>
    <comment ref="A43" authorId="3" shapeId="0" xr:uid="{60513E68-B280-4516-A1BD-1F29D69DA918}">
      <text>
        <t>[Trådad kommentar]
I din version av Excel kan du läsa den här trådade kommentaren, men eventuella ändringar i den tas bort om filen öppnas i en senare version av Excel. Läs mer: https://go.microsoft.com/fwlink/?linkid=870924
Kommentar:
    Det är alltid bra att göra kontroller så att man ser att allt stämmer...</t>
      </text>
    </comment>
    <comment ref="M59" authorId="4" shapeId="0" xr:uid="{906B7664-75C0-4F8D-B534-49A8018C103A}">
      <text>
        <t>[Trådad kommentar]
I din version av Excel kan du läsa den här trådade kommentaren, men eventuella ändringar i den tas bort om filen öppnas i en senare version av Excel. Läs mer: https://go.microsoft.com/fwlink/?linkid=870924
Kommentar:
    Som proxy för KSV används summa rörelsekostnader</t>
      </text>
    </comment>
  </commentList>
</comments>
</file>

<file path=xl/sharedStrings.xml><?xml version="1.0" encoding="utf-8"?>
<sst xmlns="http://schemas.openxmlformats.org/spreadsheetml/2006/main" count="984" uniqueCount="612">
  <si>
    <t>År</t>
  </si>
  <si>
    <t>Kassaflöde</t>
  </si>
  <si>
    <t>Nuvärdefaktor</t>
  </si>
  <si>
    <t>Kalkylränta</t>
  </si>
  <si>
    <t>Nuvärde</t>
  </si>
  <si>
    <t>Summa nuvärde</t>
  </si>
  <si>
    <t>Differens</t>
  </si>
  <si>
    <t>a)</t>
  </si>
  <si>
    <t>Belopp</t>
  </si>
  <si>
    <t>Antal år</t>
  </si>
  <si>
    <t>Slutvärde (manuell beräkning)</t>
  </si>
  <si>
    <t>Slutvärde (Excelfunktion)</t>
  </si>
  <si>
    <t>b)</t>
  </si>
  <si>
    <t>Nuvärde (manuell beräkning)</t>
  </si>
  <si>
    <t>Nuvärde (Excelfunktion)</t>
  </si>
  <si>
    <t>c)</t>
  </si>
  <si>
    <t>d)</t>
  </si>
  <si>
    <t>Årligt belopp</t>
  </si>
  <si>
    <t>Betalningar</t>
  </si>
  <si>
    <t>Nuvärde år 5 av den eviga betalningen:</t>
  </si>
  <si>
    <t>Affärsområde</t>
  </si>
  <si>
    <t>Beta</t>
  </si>
  <si>
    <t>Marknadsvärde</t>
  </si>
  <si>
    <t>Andel av totalt värde</t>
  </si>
  <si>
    <t>Vägt beta</t>
  </si>
  <si>
    <t>Radiolänksystem</t>
  </si>
  <si>
    <t>Mobil kommunikation</t>
  </si>
  <si>
    <t>Innehållstjänster</t>
  </si>
  <si>
    <t xml:space="preserve">Du har fått i uppgift att uppskatta betavärdet för en högteknologisk koncern </t>
  </si>
  <si>
    <t>med tre affärsområden (dotterbolag) som har följande karaktäristika:</t>
  </si>
  <si>
    <t>a) Vad är betavärdet för hela det egna kapitalet?</t>
  </si>
  <si>
    <t>b) Vad skulle hända med betavärdet om företaget skulle sälja ut hela affärsområdet ”Innehållstjänster”?</t>
  </si>
  <si>
    <t>c) Om du blev ombedd att värdera affärsområdet Innehållstjänster, vilket betavärde skulle du då använda?</t>
  </si>
  <si>
    <t>Kassa</t>
  </si>
  <si>
    <t>Avkastning</t>
  </si>
  <si>
    <t>Pris vid årets början</t>
  </si>
  <si>
    <t>Pris vid årets slut</t>
  </si>
  <si>
    <t>Värdestegring (kr)</t>
  </si>
  <si>
    <t>Utdelning</t>
  </si>
  <si>
    <t>Riskfri ränta</t>
  </si>
  <si>
    <t>Riskpremie</t>
  </si>
  <si>
    <t>Tillgångar</t>
  </si>
  <si>
    <t>S:a Anläggningstillgångar</t>
  </si>
  <si>
    <t>Lager</t>
  </si>
  <si>
    <t>Fordringar</t>
  </si>
  <si>
    <t>Likvida medel</t>
  </si>
  <si>
    <t>S:a Omsättningstillgångar</t>
  </si>
  <si>
    <t>S:a Tillgångar</t>
  </si>
  <si>
    <t>Eget kapital &amp; Skulder</t>
  </si>
  <si>
    <t>Bundet eget kapital</t>
  </si>
  <si>
    <t>Fritt eget kapital</t>
  </si>
  <si>
    <t>Summa eget kapital</t>
  </si>
  <si>
    <t>Långa skulder</t>
  </si>
  <si>
    <t>Summa skulder</t>
  </si>
  <si>
    <t>S:a Skulder &amp; eget kapital</t>
  </si>
  <si>
    <t>Balansräkning</t>
  </si>
  <si>
    <t>Ränta på korta skulder</t>
  </si>
  <si>
    <t>Ränta på långa skulder</t>
  </si>
  <si>
    <t>Ägarnas avkastningskrav före skatt</t>
  </si>
  <si>
    <t>Skattesats</t>
  </si>
  <si>
    <t>vägt medelvärde av företagets kapitalkostnader</t>
  </si>
  <si>
    <t xml:space="preserve">a) Beräkna företagets kalkylränta före skatt som ett </t>
  </si>
  <si>
    <t>Andel</t>
  </si>
  <si>
    <t>Kostnad</t>
  </si>
  <si>
    <t>Korta räntebärande skulder</t>
  </si>
  <si>
    <t>Korta ej räntebärande skulder</t>
  </si>
  <si>
    <t>Summa räntebärande skulder</t>
  </si>
  <si>
    <t>Vägd kostnad</t>
  </si>
  <si>
    <t>Räntebärande kapitalkällor</t>
  </si>
  <si>
    <t xml:space="preserve">refter skatt = rföre skatt * (1 – skattesats), </t>
  </si>
  <si>
    <t>Kalkylränta före skatt</t>
  </si>
  <si>
    <t>Kalkylränta efter skatt</t>
  </si>
  <si>
    <t>Företag</t>
  </si>
  <si>
    <t>P/E-tal</t>
  </si>
  <si>
    <t>Holmen</t>
  </si>
  <si>
    <t>Rottneros</t>
  </si>
  <si>
    <t>Stora Enso</t>
  </si>
  <si>
    <t>Genomsnittigt P/E</t>
  </si>
  <si>
    <t>Vikt</t>
  </si>
  <si>
    <t>Avkastningskrav</t>
  </si>
  <si>
    <t>Beräkning av uthållig vinsttillväxt</t>
  </si>
  <si>
    <t>Omsättning</t>
  </si>
  <si>
    <t>Resultat efter finansiella poster</t>
  </si>
  <si>
    <t>Genomsnittlig skuldränta (Rs)</t>
  </si>
  <si>
    <t>Schablonskatt</t>
  </si>
  <si>
    <t>Utdelningsandel</t>
  </si>
  <si>
    <t>Genomsnittligt eget kapital</t>
  </si>
  <si>
    <t>Genomsnittliga skulder</t>
  </si>
  <si>
    <t>Räntabilitet på eget kapital efter skatt</t>
  </si>
  <si>
    <t>Vinstmarginal</t>
  </si>
  <si>
    <t>Räntabilitet på totalt kapital</t>
  </si>
  <si>
    <t>Riskbuffert (Rt-Rs)</t>
  </si>
  <si>
    <t>Skuldsättningsgrad</t>
  </si>
  <si>
    <t>Finansiell hävstång</t>
  </si>
  <si>
    <t>Andel kvarhållna vinstmedel (1-Ua)</t>
  </si>
  <si>
    <t>Uthållig vinstillväxt</t>
  </si>
  <si>
    <t>Beräkning med hela formeln:</t>
  </si>
  <si>
    <t>Uppgift 7.1</t>
  </si>
  <si>
    <t>Genomsnittsvärden:</t>
  </si>
  <si>
    <t>År 0</t>
  </si>
  <si>
    <t>Totalt kapital</t>
  </si>
  <si>
    <t>Sysselsatt kapital</t>
  </si>
  <si>
    <t>Eget kapital</t>
  </si>
  <si>
    <t>Rörelseresultat</t>
  </si>
  <si>
    <t>Avskrivningar</t>
  </si>
  <si>
    <t>Resultat före skatt</t>
  </si>
  <si>
    <t>Skatt</t>
  </si>
  <si>
    <t>Räntabilitet på eget kapital (före skatt)</t>
  </si>
  <si>
    <t>Årets resultat</t>
  </si>
  <si>
    <t>Hävstångsformeln (före skatt)</t>
  </si>
  <si>
    <t>Hävstångsformeln (efter skatt)</t>
  </si>
  <si>
    <t>Räntabilitet på sysselsatt kapital</t>
  </si>
  <si>
    <t>Nettoresultat</t>
  </si>
  <si>
    <t>Finansiell balans</t>
  </si>
  <si>
    <t>Kassalikviditet</t>
  </si>
  <si>
    <t>Balanslikviditet</t>
  </si>
  <si>
    <t>+ Avskrivningar</t>
  </si>
  <si>
    <t>Soliditet</t>
  </si>
  <si>
    <t>Soliditet (sysselsatt kapital)</t>
  </si>
  <si>
    <t>Rörelsegenererat kassaflöde</t>
  </si>
  <si>
    <t>Uthållig vinsttillväxt</t>
  </si>
  <si>
    <t>Fasta värden:</t>
  </si>
  <si>
    <t>Prognos vinst per aktie</t>
  </si>
  <si>
    <t>Justerat eget kapital (JEK)</t>
  </si>
  <si>
    <t>Residualvinst</t>
  </si>
  <si>
    <t>Summa</t>
  </si>
  <si>
    <t>Ägarnas avkastningskrav</t>
  </si>
  <si>
    <t>Företagets aktievärde</t>
  </si>
  <si>
    <t>Uppgift 12.2</t>
  </si>
  <si>
    <t>Räntekostnad</t>
  </si>
  <si>
    <t>Uthålligt tillväxtantagande</t>
  </si>
  <si>
    <t>År 1</t>
  </si>
  <si>
    <t>År 2</t>
  </si>
  <si>
    <t>År 3</t>
  </si>
  <si>
    <t>År 4</t>
  </si>
  <si>
    <t>År 5</t>
  </si>
  <si>
    <t>År 6</t>
  </si>
  <si>
    <t>Resultaträkningar</t>
  </si>
  <si>
    <t>Försäljningskostnader</t>
  </si>
  <si>
    <t>Resultat före räntekostnader</t>
  </si>
  <si>
    <t>Räntekostnader</t>
  </si>
  <si>
    <t>Balansräkningar</t>
  </si>
  <si>
    <t>ÅR 0</t>
  </si>
  <si>
    <t>Omsättningstillgångar</t>
  </si>
  <si>
    <t>S:a tillgångar</t>
  </si>
  <si>
    <t>Eget kaptial</t>
  </si>
  <si>
    <t>Långfristiga skulder</t>
  </si>
  <si>
    <t>Leverantörsskulder</t>
  </si>
  <si>
    <t>Faktisk prognosperiod = 5år</t>
  </si>
  <si>
    <t>Aktievärdering residualvinster</t>
  </si>
  <si>
    <t>Nuvärde RV 1-5</t>
  </si>
  <si>
    <t>Slutvärde</t>
  </si>
  <si>
    <t>Nuvärde Slutvärde</t>
  </si>
  <si>
    <t>BV0</t>
  </si>
  <si>
    <t>Aktievärde</t>
  </si>
  <si>
    <t>Pris per aktie</t>
  </si>
  <si>
    <t>Resultat före räntekostnader efter skatt</t>
  </si>
  <si>
    <t>Syselsatt kapital</t>
  </si>
  <si>
    <t>Residualvinster</t>
  </si>
  <si>
    <t>Marknadsvärde lån</t>
  </si>
  <si>
    <t>Företagsvärde</t>
  </si>
  <si>
    <t>Värde</t>
  </si>
  <si>
    <t>Pris</t>
  </si>
  <si>
    <t>Lån</t>
  </si>
  <si>
    <t>WACC</t>
  </si>
  <si>
    <t>- Investeringar i anläggningstillg.</t>
  </si>
  <si>
    <t>Anläggningstillgångar</t>
  </si>
  <si>
    <t>Antal aktier</t>
  </si>
  <si>
    <t>Nuvärde residualvinster år 1-5</t>
  </si>
  <si>
    <t>Nuvärde slutvärde</t>
  </si>
  <si>
    <t>Summa tillgångar</t>
  </si>
  <si>
    <t>Immateriella anläggningstillgångar</t>
  </si>
  <si>
    <t>Materiella anläggningstillgångar</t>
  </si>
  <si>
    <t>Finansiella anläggningstillgångar</t>
  </si>
  <si>
    <t>Varulager</t>
  </si>
  <si>
    <t>Avsättningar</t>
  </si>
  <si>
    <t>Kortfristiga skulder</t>
  </si>
  <si>
    <t>Fakturering</t>
  </si>
  <si>
    <t>Kostnad för sålda varor</t>
  </si>
  <si>
    <t>Bruttoresultat</t>
  </si>
  <si>
    <t>Kostnader för marknadsföring, administration, forskning och utveckling</t>
  </si>
  <si>
    <t>Avskrivning på goodwill</t>
  </si>
  <si>
    <t>Rörelsens övriga intäkter och kostnader</t>
  </si>
  <si>
    <t>Skatter</t>
  </si>
  <si>
    <t>Minoritetens andel i årets resultat</t>
  </si>
  <si>
    <t>Belopp i mnkr</t>
  </si>
  <si>
    <t>Eget kapital och skulder</t>
  </si>
  <si>
    <t>Minoritetsintressen</t>
  </si>
  <si>
    <t>Räntebärande skulder</t>
  </si>
  <si>
    <t>Skulder till kreditinstitut m m</t>
  </si>
  <si>
    <t>Icke räntebärande skulder</t>
  </si>
  <si>
    <t>Rörelseskulder</t>
  </si>
  <si>
    <t>Övriga skulder</t>
  </si>
  <si>
    <t>Summa eget kapital och skulder</t>
  </si>
  <si>
    <t>Kortfristiga placeringar</t>
  </si>
  <si>
    <t>Kassa och bank</t>
  </si>
  <si>
    <t>Aktiekapital</t>
  </si>
  <si>
    <t>Bundna reserver</t>
  </si>
  <si>
    <t>Fria reserver</t>
  </si>
  <si>
    <t>Räntebärande avsättningar</t>
  </si>
  <si>
    <t>Pensioner och liknande förpliktelser</t>
  </si>
  <si>
    <t>Icke räntebärande avsättningar</t>
  </si>
  <si>
    <t>Latent skatt</t>
  </si>
  <si>
    <t>Övriga avsättningar</t>
  </si>
  <si>
    <t>Ränteintäkter</t>
  </si>
  <si>
    <t>Avkastningsstrultur</t>
  </si>
  <si>
    <t>DuPont-modellen</t>
  </si>
  <si>
    <t>Tillväxt Sysselsatt kapital</t>
  </si>
  <si>
    <t>Genomsnittlig kapitalkostnad</t>
  </si>
  <si>
    <t>Uthållig tillväxt i RVF</t>
  </si>
  <si>
    <t>Bokfört värde eget kapital</t>
  </si>
  <si>
    <t>Skulder</t>
  </si>
  <si>
    <r>
      <t xml:space="preserve">Residualvinster till företaget </t>
    </r>
    <r>
      <rPr>
        <b/>
        <sz val="10"/>
        <rFont val="Arial"/>
        <family val="2"/>
      </rPr>
      <t>(RVF)</t>
    </r>
  </si>
  <si>
    <t>Uppgift 3.2</t>
  </si>
  <si>
    <t>Uppgift 3.3</t>
  </si>
  <si>
    <t>Uppgift 3.4</t>
  </si>
  <si>
    <t>Uppgift 3.1</t>
  </si>
  <si>
    <t>Uppgift 4.1</t>
  </si>
  <si>
    <t>Uppgift 4.2</t>
  </si>
  <si>
    <t>Uppgift 4.3</t>
  </si>
  <si>
    <t>e)</t>
  </si>
  <si>
    <t>Uppgift 7.2</t>
  </si>
  <si>
    <t>Uppgift 9.3</t>
  </si>
  <si>
    <t>Uppgift 9.1</t>
  </si>
  <si>
    <t>Uppgift 9.2</t>
  </si>
  <si>
    <t>mnkr</t>
  </si>
  <si>
    <t>Marknadsvärde (mnkr)</t>
  </si>
  <si>
    <t>Uppgift 12.3</t>
  </si>
  <si>
    <t>a) Beräkning av aktievärde och pris per aktie</t>
  </si>
  <si>
    <t>b) Beräkning av företagsvärde och aktievärde med indirekt metod</t>
  </si>
  <si>
    <t>Uppgift 12.4</t>
  </si>
  <si>
    <r>
      <t>Resultat före räntekostnader justerat för skatt (</t>
    </r>
    <r>
      <rPr>
        <b/>
        <sz val="10"/>
        <rFont val="Arial"/>
        <family val="2"/>
      </rPr>
      <t>RFRJS</t>
    </r>
    <r>
      <rPr>
        <sz val="10"/>
        <rFont val="Arial"/>
        <family val="2"/>
      </rPr>
      <t>)</t>
    </r>
  </si>
  <si>
    <t>steg 1</t>
  </si>
  <si>
    <t>steg 2</t>
  </si>
  <si>
    <t>Räntekostnad efter skatt</t>
  </si>
  <si>
    <t>Ökning av långfristiga lån (netto)</t>
  </si>
  <si>
    <t>Investeringar i anläggningstillgångar</t>
  </si>
  <si>
    <t>Investeringar i rörelsekapital</t>
  </si>
  <si>
    <t>Andel eget kapital</t>
  </si>
  <si>
    <t>Antal aktier (miljoner)</t>
  </si>
  <si>
    <t>Avkastningskrav (diskonteringsränta)</t>
  </si>
  <si>
    <t>Investeringar i AT</t>
  </si>
  <si>
    <t>Uppgift 10.1</t>
  </si>
  <si>
    <t>b) Beräkna aktiens värde.</t>
  </si>
  <si>
    <t>Tillväxt från föregående år</t>
  </si>
  <si>
    <t>Summa nuvärde år 1-6</t>
  </si>
  <si>
    <t>Konstant tillväxt efter år 6</t>
  </si>
  <si>
    <t>Nuvärde av kassaflödet efter år 6</t>
  </si>
  <si>
    <t>Totalt aktievärde</t>
  </si>
  <si>
    <t>Aktiens värde</t>
  </si>
  <si>
    <t>Uppgift 10.2</t>
  </si>
  <si>
    <t>Resultaträkningar (mnkr)</t>
  </si>
  <si>
    <t>Rörelseintäkter</t>
  </si>
  <si>
    <t>Rörelsekostnader</t>
  </si>
  <si>
    <t>Resultat efter avskrivningar</t>
  </si>
  <si>
    <t>Balansräkningar (mnkr)</t>
  </si>
  <si>
    <t>Övriga omsättningstillgångar</t>
  </si>
  <si>
    <t>1. Omsättningsökning</t>
  </si>
  <si>
    <t>2. Rörelsekostnader / omsättning</t>
  </si>
  <si>
    <t>3. Ökning avskrivningar</t>
  </si>
  <si>
    <t>4. Ökning av T och S</t>
  </si>
  <si>
    <t>5. Avkastningskrav EK</t>
  </si>
  <si>
    <t xml:space="preserve"> Ränta på långfr. lån</t>
  </si>
  <si>
    <t>6. Skattesats</t>
  </si>
  <si>
    <t>7. Tillväxt efter år 3</t>
  </si>
  <si>
    <t xml:space="preserve">a) Beräkna den genomsnittliga kapitalkostnaden </t>
  </si>
  <si>
    <t>Viktad kostnad</t>
  </si>
  <si>
    <t>- Ökning av likvida medel</t>
  </si>
  <si>
    <t>- Ökning övriga omsättningstillgångar</t>
  </si>
  <si>
    <t>+ Ökning korta skulder</t>
  </si>
  <si>
    <t>Prognos baserad på antaganden</t>
  </si>
  <si>
    <t xml:space="preserve">c) Beräkna värdet på det egna kapitalet. </t>
  </si>
  <si>
    <t>Nuvärde av slutvärde</t>
  </si>
  <si>
    <t>Ökning av företagets vinst per aktie</t>
  </si>
  <si>
    <t>Utdelningandel efter år 5</t>
  </si>
  <si>
    <t>Beräkna aktiens värde utifrån en utdelningsbaserad diskonteringsmodell.</t>
  </si>
  <si>
    <t>Nettovinst per aktie</t>
  </si>
  <si>
    <t>Utdelning per aktie</t>
  </si>
  <si>
    <t>Prognostiserade vinster</t>
  </si>
  <si>
    <t>Utdelningsandel år 1-5</t>
  </si>
  <si>
    <t>Prognostiserade utdelningar</t>
  </si>
  <si>
    <t>Nuvärde av utdelningar</t>
  </si>
  <si>
    <t xml:space="preserve">Vinst per aktie </t>
  </si>
  <si>
    <t xml:space="preserve">Fritt kassaflöde per aktie </t>
  </si>
  <si>
    <t xml:space="preserve">Försäljning per aktie </t>
  </si>
  <si>
    <t>Prognos Webcom</t>
  </si>
  <si>
    <t>Jämförelseföretag</t>
  </si>
  <si>
    <t xml:space="preserve">Ican </t>
  </si>
  <si>
    <t xml:space="preserve">Wapcom </t>
  </si>
  <si>
    <t>Aktiekurs</t>
  </si>
  <si>
    <t>P/E</t>
  </si>
  <si>
    <t>KF</t>
  </si>
  <si>
    <t>P/S</t>
  </si>
  <si>
    <t>Pris baserat på P/S</t>
  </si>
  <si>
    <t>Medel</t>
  </si>
  <si>
    <t>Uppgift 4.4</t>
  </si>
  <si>
    <t>Vinstmultipel</t>
  </si>
  <si>
    <t>Vinst per aktie</t>
  </si>
  <si>
    <t>Detta motsvarar ett</t>
  </si>
  <si>
    <t>Exempel:</t>
  </si>
  <si>
    <t>Uppgift 6.1</t>
  </si>
  <si>
    <t>Avskrivningar på AT</t>
  </si>
  <si>
    <t>Anskaffningsvärde</t>
  </si>
  <si>
    <t>Ekonomiska livslängd (år)</t>
  </si>
  <si>
    <t>år 1</t>
  </si>
  <si>
    <t>år 2</t>
  </si>
  <si>
    <t>år 3</t>
  </si>
  <si>
    <t>år 4</t>
  </si>
  <si>
    <t>Försäljningsintäkter</t>
  </si>
  <si>
    <t>år 5</t>
  </si>
  <si>
    <t>år 6</t>
  </si>
  <si>
    <t>år 7</t>
  </si>
  <si>
    <t>år 8</t>
  </si>
  <si>
    <t>år 9</t>
  </si>
  <si>
    <t>år 10</t>
  </si>
  <si>
    <t>år 0</t>
  </si>
  <si>
    <t>Nedskrivning</t>
  </si>
  <si>
    <t>IB bokfört värde</t>
  </si>
  <si>
    <t>Avskrivning</t>
  </si>
  <si>
    <t>UB Bokfört värde</t>
  </si>
  <si>
    <t>Kostnader</t>
  </si>
  <si>
    <t>Uppgift a): Beräkning om nedskrivning genomförs:</t>
  </si>
  <si>
    <r>
      <t xml:space="preserve">Uppgift b): Beräkning om nedskrivning </t>
    </r>
    <r>
      <rPr>
        <b/>
        <u/>
        <sz val="10"/>
        <rFont val="Arial"/>
        <family val="2"/>
      </rPr>
      <t>ej</t>
    </r>
    <r>
      <rPr>
        <b/>
        <sz val="10"/>
        <rFont val="Arial"/>
        <family val="2"/>
      </rPr>
      <t xml:space="preserve"> genomförs:</t>
    </r>
  </si>
  <si>
    <t>Uppgift 6.2</t>
  </si>
  <si>
    <t>Köpt maskin för</t>
  </si>
  <si>
    <t>Livslängd</t>
  </si>
  <si>
    <t>Övriga utgifter</t>
  </si>
  <si>
    <t>Försäljning</t>
  </si>
  <si>
    <t>Resultaträkning år 1</t>
  </si>
  <si>
    <t>Vinst</t>
  </si>
  <si>
    <t>Kassaflödesbaserad redovisning</t>
  </si>
  <si>
    <t>Inbetalningar:</t>
  </si>
  <si>
    <t>Utbetalningar</t>
  </si>
  <si>
    <t>Övriga utbetalningar</t>
  </si>
  <si>
    <t>Investering i maskin</t>
  </si>
  <si>
    <t>Kassaflöde "bruttovinst"</t>
  </si>
  <si>
    <t>Uppgift 10.3</t>
  </si>
  <si>
    <t>Uppgift 12.1</t>
  </si>
  <si>
    <t xml:space="preserve">Bokfört värde (eget kapital) per aktie </t>
  </si>
  <si>
    <t xml:space="preserve">Vinst per aktie efter skatt </t>
  </si>
  <si>
    <t>Prognos vinstökning</t>
  </si>
  <si>
    <t>Uthållig vinsttillväxt från år 4</t>
  </si>
  <si>
    <t>Betavärde</t>
  </si>
  <si>
    <t>Avkastningskrav enligt CAPM</t>
  </si>
  <si>
    <t>Steg 1</t>
  </si>
  <si>
    <t xml:space="preserve">Riskfri ränta </t>
  </si>
  <si>
    <t>Steg 2</t>
  </si>
  <si>
    <t>Prognostisera vinsterna</t>
  </si>
  <si>
    <t>Steg 3</t>
  </si>
  <si>
    <t xml:space="preserve">Beräkna framtid bokförda värden </t>
  </si>
  <si>
    <t>BV 1</t>
  </si>
  <si>
    <t>BV 2</t>
  </si>
  <si>
    <t>BV 3</t>
  </si>
  <si>
    <t>BV 0</t>
  </si>
  <si>
    <t>Steg 4</t>
  </si>
  <si>
    <t>Beräkna framtida residualvinster för perioden 1-4</t>
  </si>
  <si>
    <t>RV 1</t>
  </si>
  <si>
    <t>RV 2</t>
  </si>
  <si>
    <t>RV 3</t>
  </si>
  <si>
    <t>RV 4</t>
  </si>
  <si>
    <t>Steg 5</t>
  </si>
  <si>
    <t>Steg 6</t>
  </si>
  <si>
    <t>Slutvärde framtida residualvinster efter år 4.</t>
  </si>
  <si>
    <t>Nuvärdet av nuvärdet år 5</t>
  </si>
  <si>
    <t>I denna arbetsbok lägger vi också löpande in frågor och svar som vi fått på uppifterna…</t>
  </si>
  <si>
    <t>Bagerisyskonen AB är ett mindre företag med fem anställda som tillverkar matbröd och bakverk.</t>
  </si>
  <si>
    <t>Företaget redovisar för det senaste året följande balansräkning.</t>
  </si>
  <si>
    <t>Poster i balansräkning</t>
  </si>
  <si>
    <t>Bokförda värden balansräkning</t>
  </si>
  <si>
    <t>Justeringar</t>
  </si>
  <si>
    <t>latent skatt</t>
  </si>
  <si>
    <t>Justerad balansräkning</t>
  </si>
  <si>
    <t>Obeskattade reserver</t>
  </si>
  <si>
    <t>Kommentar</t>
  </si>
  <si>
    <t>Kundfordringar</t>
  </si>
  <si>
    <t>Övriga fordringar</t>
  </si>
  <si>
    <t>Övriga kortfr. Skulder</t>
  </si>
  <si>
    <t>Övriga tillgångar</t>
  </si>
  <si>
    <t>Förutbetalda kostnader och upplupna intäkter</t>
  </si>
  <si>
    <t>Upplupna kostnader och förutbetalda intäkter</t>
  </si>
  <si>
    <t>Kassa &amp; Bank</t>
  </si>
  <si>
    <t>Vi befinner oss nu i mitten av sommaren, ett halvt år efter bokslutet gjordes, och året har inte blivit vad</t>
  </si>
  <si>
    <t>Summa skulder och eget kapital</t>
  </si>
  <si>
    <t>Bagerisyskonen hade önskat. En pandemi har härjat i landet och många av deras kunder (konditorier och</t>
  </si>
  <si>
    <t>restauranger) har haft det minst sagt besvärligt</t>
  </si>
  <si>
    <t>Företagets substansvärde</t>
  </si>
  <si>
    <t>Syskonen beslutar sig därför för att sälja företaget. En av syskonen är beredd att ta över företaget, till ett</t>
  </si>
  <si>
    <t>värde som motsvarar företagets substansvärde. En revisionsfirma anlitas och vid deras genomgång</t>
  </si>
  <si>
    <t>framkommer följande:</t>
  </si>
  <si>
    <t>undervärde, men hänsyn till latent skatt.</t>
  </si>
  <si>
    <t>En maskinpark som i bokföringen är helt avskrivna bedöms vara värd omkring 50000 kronor vid en direkt försäljning.</t>
  </si>
  <si>
    <t>Eget kapital kan här beräknas som en restpost (justerade tillgångar minus</t>
  </si>
  <si>
    <t>Varulagret består till mycket stor del av ingredienser som sett bättre dagar och bakverk som hamnat i frysen istället för att säljas färska.</t>
  </si>
  <si>
    <t>skulder).</t>
  </si>
  <si>
    <t xml:space="preserve">Varulagret bedöms därför bara vara värt hälften av det bokförda värdet.  </t>
  </si>
  <si>
    <t>Många av företagets kunder har stora ekonomiska problem och man bedömer att 20 procent av kundfordringarnas värde inte kommer att betalas.</t>
  </si>
  <si>
    <t>Övriga tillgångar och skulder bedöms vara korrekt värderade i balansräkningen.</t>
  </si>
  <si>
    <t>Genomför en substansvärdering av företaget givet dessa uppgifter.</t>
  </si>
  <si>
    <t>Uppgift 11.2</t>
  </si>
  <si>
    <t>Bokfört Eget kapital</t>
  </si>
  <si>
    <t>Övervärden i fastigheter</t>
  </si>
  <si>
    <t>EK:s del av övervärdet</t>
  </si>
  <si>
    <t>Substansvärde</t>
  </si>
  <si>
    <t>Uppgift 11.1</t>
  </si>
  <si>
    <t>Skattesats 20 procent</t>
  </si>
  <si>
    <t>Fritt kassaflöde (FKF)</t>
  </si>
  <si>
    <t>Utdelning till aktieägarna (U)</t>
  </si>
  <si>
    <t>Alternativ beräkning eftersom utdelningen</t>
  </si>
  <si>
    <t>år 6 kommer att växa med 4 % per år</t>
  </si>
  <si>
    <t>Nuvärde utdelningar från år 6 och framåt</t>
  </si>
  <si>
    <t>Summa nuvärde år 1-5</t>
  </si>
  <si>
    <t>Total aktievärde</t>
  </si>
  <si>
    <t>NOTERA SAMMA VÄRDE SOM OVAN</t>
  </si>
  <si>
    <t>Skatt på rörelseresultat</t>
  </si>
  <si>
    <t>Rörelseresultat efter skatt</t>
  </si>
  <si>
    <t>Alternativ beräkning eftersom det fria kassaflödet</t>
  </si>
  <si>
    <t>år 3 kommer att växa med 3 % per år</t>
  </si>
  <si>
    <t>Summa nuvärde år 1-2</t>
  </si>
  <si>
    <t>Efter år 2005 antas företaget uppnått en uthållig (konstant) vinstnivå i nivå med den vinst som genereras 20x5</t>
  </si>
  <si>
    <t>Alternativ beräkning eftersom residualvinsterna</t>
  </si>
  <si>
    <t>från år 4 kommer att växa med 3 % per år</t>
  </si>
  <si>
    <t>Nuvärde av framtida residualvinster från och med år 4</t>
  </si>
  <si>
    <t>Nuvärde av residualvinster period 1-3</t>
  </si>
  <si>
    <t>Total värde av residualvinster</t>
  </si>
  <si>
    <t>Värde per aktie</t>
  </si>
  <si>
    <t>Justerat eget kapital per aktie (substansvärde) 2020</t>
  </si>
  <si>
    <t>Prognostiserad vinst per aktie 2021</t>
  </si>
  <si>
    <t>Prognostiserad vinst per aktie 2022</t>
  </si>
  <si>
    <t>Utdelningsprognos 2021</t>
  </si>
  <si>
    <t>2023-</t>
  </si>
  <si>
    <t>Tillväxt i residualvinst efter 2022</t>
  </si>
  <si>
    <t>från år 2 kommer att växa med 3 % per år</t>
  </si>
  <si>
    <t>Nuvärde av residualvinster period 1</t>
  </si>
  <si>
    <t>Nuvärde av framtida residualvinster från och med år 5</t>
  </si>
  <si>
    <t>från år 5 kommer att växa med 5 % per år</t>
  </si>
  <si>
    <t>Bokfört värde av eget kapital</t>
  </si>
  <si>
    <t>Aktievärde/Värde på eget kapital</t>
  </si>
  <si>
    <t>Nuvärde RVF (1-3)</t>
  </si>
  <si>
    <t>Varulagrets omsättningshastighet</t>
  </si>
  <si>
    <t>Genomsnittlig lagringstid</t>
  </si>
  <si>
    <t>Kundfordringars omsättningshastighet</t>
  </si>
  <si>
    <t>Genomsnittlig kundkredittid</t>
  </si>
  <si>
    <t>År 2021</t>
  </si>
  <si>
    <t>2021 12 31</t>
  </si>
  <si>
    <t>2020 12 31</t>
  </si>
  <si>
    <t>Essitys balansräkning</t>
  </si>
  <si>
    <r>
      <t>EGET KAPITAL OCH SKULDER</t>
    </r>
    <r>
      <rPr>
        <sz val="11"/>
        <color theme="1"/>
        <rFont val="Calibri"/>
        <family val="2"/>
        <scheme val="minor"/>
      </rPr>
      <t xml:space="preserve"> (MSEK)</t>
    </r>
  </si>
  <si>
    <t>Moderbolagets aktieägare</t>
  </si>
  <si>
    <t>Reserver</t>
  </si>
  <si>
    <t>Balanserade vinstmedel</t>
  </si>
  <si>
    <t>Innehav utan bestämmande inflytande</t>
  </si>
  <si>
    <t>Summa sysselsatt kapital</t>
  </si>
  <si>
    <t>Genomsnittligt SYSS</t>
  </si>
  <si>
    <t>Långfristiga finansiella skulder</t>
  </si>
  <si>
    <t>Avsättningar för pensioner</t>
  </si>
  <si>
    <t>Finansiella intäkter</t>
  </si>
  <si>
    <t>Uppskjutna skatteskulder</t>
  </si>
  <si>
    <t>Övriga långfristiga avsättningar</t>
  </si>
  <si>
    <t>Övriga långfristiga skulder</t>
  </si>
  <si>
    <t>RSYSS</t>
  </si>
  <si>
    <t>Summa långfristiga skulder</t>
  </si>
  <si>
    <t>Kortfristiga finansiella skulder</t>
  </si>
  <si>
    <t>Aktuella skatteskulder</t>
  </si>
  <si>
    <t>Kortfristiga avsättningar</t>
  </si>
  <si>
    <t>Övriga kortfristiga skulder</t>
  </si>
  <si>
    <t>Summa kortfristiga skulder</t>
  </si>
  <si>
    <t>a) Vilka poster av Essitys balansräkning kan anses som räntebärande</t>
  </si>
  <si>
    <t>Vad blir totalt sysselsatt kapital för 2020?</t>
  </si>
  <si>
    <t>Vad blir genomsnittligt sysselsatt kapital för 2020?</t>
  </si>
  <si>
    <t>Rörelseresultat (EBIT)</t>
  </si>
  <si>
    <t>Resultat efter finansnetto</t>
  </si>
  <si>
    <t>S:a eget kapital och skulder</t>
  </si>
  <si>
    <t>Sysselsatt kapital omsättningshastighet</t>
  </si>
  <si>
    <t>Beräkna nuvärdet av framtida residualvinster för period år 1-3</t>
  </si>
  <si>
    <t>Nuvärde av framtida residualvinster från och med år 2</t>
  </si>
  <si>
    <t>Nuvärde av residualvinster period 1-4</t>
  </si>
  <si>
    <t>Skuldsättningsgrad (L/E)</t>
  </si>
  <si>
    <t>Genomsnittlig skuldränta (RL)</t>
  </si>
  <si>
    <t>Räntabilitet på sysselsatt kapital (RSYSS)</t>
  </si>
  <si>
    <t>Räntabilitet på totalt kapital (RT)</t>
  </si>
  <si>
    <t>Finansiell hävstång (RSYSS-RL)*L/E</t>
  </si>
  <si>
    <t>Räntabilitet på eget kapital (efter skatt) (RE)</t>
  </si>
  <si>
    <t>Göteborgs Pepparkaksbageri AB</t>
  </si>
  <si>
    <t>Årsredovisningarna har hämtats från databasen Retriever business</t>
  </si>
  <si>
    <t>Lagstadgad Bolagsskatt</t>
  </si>
  <si>
    <t>Bolagskatt för olika beskattningsår</t>
  </si>
  <si>
    <t>RESULTATRÄKNING [tkr]</t>
  </si>
  <si>
    <t>Källor</t>
  </si>
  <si>
    <t>Bokslutsperiod:</t>
  </si>
  <si>
    <t>Skatteverket</t>
  </si>
  <si>
    <t>https://www.skatteverket.se/foretag/drivaforetag/foretagsformer/aktiebolag.4.5c13cb6b1198121ee8580002546.html</t>
  </si>
  <si>
    <t>Eknomifakta, Bolagsskatt - internationellt</t>
  </si>
  <si>
    <t>https://www.ekonomifakta.se/fakta/skatter/skatt-pa-foretagande-och-kapital/bolagsskatt/</t>
  </si>
  <si>
    <t>Råvaror &amp; förnödenheter</t>
  </si>
  <si>
    <t>Uppskjuten skatt</t>
  </si>
  <si>
    <t>Övriga externa kostnader</t>
  </si>
  <si>
    <t>Betald skatt</t>
  </si>
  <si>
    <t>Personalkostnader</t>
  </si>
  <si>
    <t>Total skatt</t>
  </si>
  <si>
    <t>Resultat efter skatt</t>
  </si>
  <si>
    <t>Effektiv skattesats</t>
  </si>
  <si>
    <t>Bokslutsdispositioner</t>
  </si>
  <si>
    <t>EK andel av OR</t>
  </si>
  <si>
    <t xml:space="preserve">Skulder till kreditinstitut, korta </t>
  </si>
  <si>
    <t>BALANSRÄKNING TILLGÅNGAR [tkr]</t>
  </si>
  <si>
    <t>Effektivitet</t>
  </si>
  <si>
    <t>Summa anläggningstillgångar</t>
  </si>
  <si>
    <t>Övriga kortfristiga fordringar</t>
  </si>
  <si>
    <t xml:space="preserve">Justerat Eget kapital (E) </t>
  </si>
  <si>
    <t>Summa omsättningstillgångar</t>
  </si>
  <si>
    <t>Räntebärande skulder (L)</t>
  </si>
  <si>
    <t xml:space="preserve">Summa kortfristiga skulder </t>
  </si>
  <si>
    <t>Koll T = EK+S</t>
  </si>
  <si>
    <t>Analys av förändring av eget kapital</t>
  </si>
  <si>
    <t>IB eget kapital</t>
  </si>
  <si>
    <t>Aktieägartillskott</t>
  </si>
  <si>
    <t>UB eget kapital</t>
  </si>
  <si>
    <t>Bokfört eget kapital (kontroll)</t>
  </si>
  <si>
    <t>a) Beräkna fritt kassaflöde till aktieägarna (U) för år 0</t>
  </si>
  <si>
    <t xml:space="preserve"> Du kan även anta en bolagsskattesats på 20,6 procent.</t>
  </si>
  <si>
    <t>(0,206*274 986). Tillgångarna har justerats med respektive över- och</t>
  </si>
  <si>
    <t>Nuvärde FKF</t>
  </si>
  <si>
    <t>Alt 1: Om de behåller kapitalet i företaget</t>
  </si>
  <si>
    <t>Alt 2: Om de delar ut likviditeten till aktieägarna:</t>
  </si>
  <si>
    <t>Kommentarer, frågor och svar</t>
  </si>
  <si>
    <t>Oavsett hur det redovisas skall normalt minoritetsintresset inkluderas som en del av eget kapital.</t>
  </si>
  <si>
    <t>En klurighet i uppgiften är att Minoritetsintressen redovisas som en egen post efter summa eget kapital. Det normala brukar vara att minoritetsintressen redovisas som en</t>
  </si>
  <si>
    <t>del av Eget kapital (ibland med namnet Innehav utan bestämmande inflytande).</t>
  </si>
  <si>
    <t>Kommentar: De obeskattade reserverna har fördelats som (latent skatteskuld)</t>
  </si>
  <si>
    <t>b) Beräkna företagets kassaflöde till företaget (FKF) för åren 1-3.</t>
  </si>
  <si>
    <t>Nuvärde Horisontvärde</t>
  </si>
  <si>
    <t>Beräkning av nuvärde horisontvärde</t>
  </si>
  <si>
    <t>Se även de filmer som jag lägger ut i min spellista</t>
  </si>
  <si>
    <t>https://youtube.com/playlist?list=PLmUVbNPRKExetmo4HQDjDZ_hsL5jLCqzN</t>
  </si>
  <si>
    <t>Spellista: Finansiell analys &amp; värdering</t>
  </si>
  <si>
    <t>Lösning av uppgift 10.2</t>
  </si>
  <si>
    <t>Kassaflödesbaserad värdering: ett övningsexempel</t>
  </si>
  <si>
    <t>https://youtu.be/kQfYds7SrqI</t>
  </si>
  <si>
    <t>Inspelade lösningar av övningsuppgifter</t>
  </si>
  <si>
    <t>avkastningskrav på:</t>
  </si>
  <si>
    <t>Billerud</t>
  </si>
  <si>
    <t>Ahlstrom</t>
  </si>
  <si>
    <t>SCA</t>
  </si>
  <si>
    <t>Avkastningskrav eget kapital</t>
  </si>
  <si>
    <t xml:space="preserve">Tillväxttakt </t>
  </si>
  <si>
    <t xml:space="preserve">Alt 1: </t>
  </si>
  <si>
    <t>Multipel transaktion</t>
  </si>
  <si>
    <t xml:space="preserve">Alt 2: </t>
  </si>
  <si>
    <t>Utdelning per aktie år 1</t>
  </si>
  <si>
    <t>Lämpligen görs inte värdering baserad på försäljningsmultipel</t>
  </si>
  <si>
    <t>då en sådan multipel är starkt beroende av företagets marginal.</t>
  </si>
  <si>
    <t>Så kolla alltid lösningen här om du har en fundering kring en specifik övningsuppgift</t>
  </si>
  <si>
    <t>Ser du något som är verkar vara fel (i boken eller här i excel) så är vi mycket tacksamma för tips som leder oss mot en helt felfri bok…</t>
  </si>
  <si>
    <t>Utdelning (år 0)</t>
  </si>
  <si>
    <t>Värde, V(E), per aktie</t>
  </si>
  <si>
    <t>Värde, V(E), per aktie (vid samma multipel)</t>
  </si>
  <si>
    <t>Totalt värde eget kapital, mkr</t>
  </si>
  <si>
    <t xml:space="preserve">Vi får ungefär samma resultat. Vid ett avkastingskrav på </t>
  </si>
  <si>
    <t>Så blir det lika på kronan…</t>
  </si>
  <si>
    <t>=0,12*(850/3550)+0,04*(2500/3550)+0,05*(200/3550)</t>
  </si>
  <si>
    <t>Här finns ett skrivfel i boken</t>
  </si>
  <si>
    <t>+ Notera även att det finns ett Eratablad (med upptäckta skrivfel) - kolla alltid denna om du ser något konstigt</t>
  </si>
  <si>
    <t>Andra filmer</t>
  </si>
  <si>
    <t>Nyckeltal som mäter lönsamhet, finansiell styrka och effektivitet</t>
  </si>
  <si>
    <t>https://youtu.be/TmebfKy6et0</t>
  </si>
  <si>
    <t>Jag gör en finansiell analys av SKF och räknar igenom  bokens nyckeltal</t>
  </si>
  <si>
    <t>Manuell beräkning</t>
  </si>
  <si>
    <t>Upptäckta fel som tas upp i eratabladet markeras i lösningen med:</t>
  </si>
  <si>
    <t>Här har det dels blivit fel i uppgiften (sid 315) där summa anläggningstillgångar</t>
  </si>
  <si>
    <t>anges till 4320 (skall vara 3320) sen i lösningen (på sid 461) så används fel eget</t>
  </si>
  <si>
    <t>kapital (EK skall vara 850)</t>
  </si>
  <si>
    <t>Vilket även ger fel WACC</t>
  </si>
  <si>
    <t>och</t>
  </si>
  <si>
    <t>Utan</t>
  </si>
  <si>
    <t>"Minoritetens andel i årets resultat" redovisas normalt efter "årets resultat". Då vi analyserar hela bolagets lönsamhet skall men inte justera bort minoritetens andel i resultatet (på samma sätt som det ingår i EK)</t>
  </si>
  <si>
    <t>Se film där jag löser detta:</t>
  </si>
  <si>
    <t>f)</t>
  </si>
  <si>
    <t>Sensmoral: Ju högre kalkylränta, desto lägre blir nuvärdet.</t>
  </si>
  <si>
    <t>kap 3</t>
  </si>
  <si>
    <t>kap 4</t>
  </si>
  <si>
    <t>kap 6</t>
  </si>
  <si>
    <t>kap 7</t>
  </si>
  <si>
    <t>7.2</t>
  </si>
  <si>
    <t>7.3 GPB</t>
  </si>
  <si>
    <t>Kap 9</t>
  </si>
  <si>
    <t>Kap 10</t>
  </si>
  <si>
    <t>Kap 11</t>
  </si>
  <si>
    <t>kap 12</t>
  </si>
  <si>
    <t>Blad</t>
  </si>
  <si>
    <t>Länk</t>
  </si>
  <si>
    <t>Innehåll</t>
  </si>
  <si>
    <t>Företagsvärdering – en investeringskalkyl</t>
  </si>
  <si>
    <t>En överblick över de huvudsakliga värderingsmodellerna</t>
  </si>
  <si>
    <t>Redovisningsanalys</t>
  </si>
  <si>
    <t>Finansiell analys</t>
  </si>
  <si>
    <t>Finansiell analys Essity</t>
  </si>
  <si>
    <t>Finansiell analys Göteborgs Pepparkaksbageri AB</t>
  </si>
  <si>
    <t>Beräkning av kapitalkostnader</t>
  </si>
  <si>
    <t>Kassaflödes- och utdelningsbaserad värdering</t>
  </si>
  <si>
    <t>Substansvärdering</t>
  </si>
  <si>
    <t>Residualvinstmodellen</t>
  </si>
  <si>
    <t>Se även de filmer som jag lägger ut i min spellista på YouTube</t>
  </si>
  <si>
    <t>Lösningar till övningsuppgifter till</t>
  </si>
  <si>
    <t>Företagsvärdering med  fundamental analys</t>
  </si>
  <si>
    <t>Arbetssbokens innehåll</t>
  </si>
  <si>
    <t>Hjelström, Isaksson &amp; Nilsson, 2022</t>
  </si>
  <si>
    <t>Nuvärde horisontvärde</t>
  </si>
  <si>
    <t>De flesta fel som upptäcktes i första ttryckningen (Upplaga 2:1) är korrigerade.</t>
  </si>
  <si>
    <t>Två fel på lösningar har upptäckts i andra tryckningen (Upplaga 2:2)</t>
  </si>
  <si>
    <t xml:space="preserve">Gamla fel (från upplaga 2:1) är markerade med </t>
  </si>
  <si>
    <t>Här fanns ett skrivfel i upplaga 2.1</t>
  </si>
  <si>
    <t>Här fanns ett skrivfel i upplaga 2.1 för siffrorna för 2019 (som istället visar 2020 siffror i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</si>
</sst>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0_ ;[Red]\-#,##0.0000\ "/>
    <numFmt numFmtId="165" formatCode="0.000"/>
    <numFmt numFmtId="166" formatCode="0.0"/>
    <numFmt numFmtId="167" formatCode="#,##0.0"/>
    <numFmt numFmtId="168" formatCode="0.0%"/>
    <numFmt numFmtId="169" formatCode="#,##0.00_ ;[Red]\-#,##0.00\ "/>
    <numFmt numFmtId="170" formatCode="#,##0.0_ ;[Red]\-#,##0.0\ "/>
    <numFmt numFmtId="171" formatCode="#,##0\ &quot;kr&quot;"/>
    <numFmt numFmtId="172" formatCode="0.0&quot; ggr&quot;"/>
    <numFmt numFmtId="173" formatCode="0.0&quot; dgr&quot;"/>
    <numFmt numFmtId="174" formatCode="###\ ###\ ###\ ##0"/>
    <numFmt numFmtId="175" formatCode="#,##0_ ;[Red]\-#,##0\ "/>
    <numFmt numFmtId="176" formatCode="0.0000000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sz val="10"/>
      <name val="Arial"/>
      <family val="2"/>
    </font>
    <font>
      <sz val="10"/>
      <color indexed="10"/>
      <name val="Arial"/>
      <family val="2"/>
    </font>
    <font>
      <b/>
      <sz val="12"/>
      <name val="Arial"/>
      <family val="2"/>
    </font>
    <font>
      <sz val="12"/>
      <name val="Arial"/>
      <family val="2"/>
    </font>
    <font>
      <b/>
      <sz val="20"/>
      <name val="Arial"/>
      <family val="2"/>
    </font>
    <font>
      <b/>
      <sz val="14"/>
      <name val="Arial"/>
      <family val="2"/>
    </font>
    <font>
      <b/>
      <sz val="24"/>
      <color indexed="10"/>
      <name val="Arial"/>
      <family val="2"/>
    </font>
    <font>
      <b/>
      <u/>
      <sz val="10"/>
      <name val="Arial"/>
      <family val="2"/>
    </font>
    <font>
      <sz val="8"/>
      <color indexed="81"/>
      <name val="Tahoma"/>
      <family val="2"/>
    </font>
    <font>
      <b/>
      <sz val="8"/>
      <color indexed="81"/>
      <name val="Tahoma"/>
      <family val="2"/>
    </font>
    <font>
      <b/>
      <sz val="11"/>
      <color theme="0"/>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sz val="11"/>
      <color indexed="8"/>
      <name val="Calibri"/>
      <family val="2"/>
      <scheme val="minor"/>
    </font>
    <font>
      <sz val="12"/>
      <name val="Calibri"/>
      <family val="2"/>
    </font>
    <font>
      <b/>
      <sz val="11"/>
      <name val="Calibri"/>
      <family val="2"/>
    </font>
    <font>
      <sz val="10"/>
      <name val="Calibri"/>
      <family val="2"/>
    </font>
    <font>
      <sz val="11"/>
      <color indexed="10"/>
      <name val="Calibri"/>
      <family val="2"/>
    </font>
    <font>
      <sz val="8"/>
      <name val="Arial"/>
      <family val="2"/>
    </font>
    <font>
      <sz val="10"/>
      <color theme="1"/>
      <name val="Arial"/>
      <family val="2"/>
    </font>
    <font>
      <b/>
      <sz val="20"/>
      <color theme="1"/>
      <name val="Calibri"/>
      <family val="2"/>
      <scheme val="minor"/>
    </font>
    <font>
      <u/>
      <sz val="11"/>
      <color theme="10"/>
      <name val="Calibri"/>
      <family val="2"/>
      <scheme val="minor"/>
    </font>
    <font>
      <sz val="11"/>
      <color theme="1"/>
      <name val="Calibri"/>
      <family val="2"/>
    </font>
    <font>
      <b/>
      <sz val="10"/>
      <color theme="1"/>
      <name val="Arial"/>
      <family val="2"/>
    </font>
    <font>
      <b/>
      <sz val="11"/>
      <color indexed="8"/>
      <name val="Calibri"/>
      <family val="2"/>
      <scheme val="minor"/>
    </font>
    <font>
      <b/>
      <sz val="10"/>
      <name val="Calibri"/>
      <family val="2"/>
    </font>
    <font>
      <b/>
      <sz val="11"/>
      <color indexed="10"/>
      <name val="Calibri"/>
      <family val="2"/>
    </font>
    <font>
      <u/>
      <sz val="10"/>
      <color theme="10"/>
      <name val="Arial"/>
      <family val="2"/>
    </font>
    <font>
      <b/>
      <sz val="16"/>
      <name val="Arial"/>
      <family val="2"/>
    </font>
    <font>
      <sz val="18"/>
      <name val="Arial"/>
      <family val="2"/>
    </font>
    <font>
      <b/>
      <sz val="18"/>
      <name val="Arial"/>
      <family val="2"/>
    </font>
    <font>
      <sz val="10"/>
      <color rgb="FFFFFFFF"/>
      <name val="Arial"/>
      <family val="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1"/>
        <bgColor theme="1"/>
      </patternFill>
    </fill>
    <fill>
      <patternFill patternType="solid">
        <fgColor rgb="FFFFFF00"/>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7547"/>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ck">
        <color indexed="18"/>
      </left>
      <right style="thick">
        <color indexed="18"/>
      </right>
      <top style="thick">
        <color indexed="18"/>
      </top>
      <bottom style="thick">
        <color indexed="1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rgb="FFBFBFBF"/>
      </right>
      <top/>
      <bottom style="medium">
        <color rgb="FFBFBFBF"/>
      </bottom>
      <diagonal/>
    </border>
    <border>
      <left/>
      <right/>
      <top style="medium">
        <color auto="1"/>
      </top>
      <bottom/>
      <diagonal/>
    </border>
    <border>
      <left/>
      <right/>
      <top style="hair">
        <color auto="1"/>
      </top>
      <bottom style="hair">
        <color auto="1"/>
      </bottom>
      <diagonal/>
    </border>
    <border>
      <left/>
      <right/>
      <top style="hair">
        <color indexed="64"/>
      </top>
      <bottom style="thin">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bottom style="medium">
        <color rgb="FFFFFFFF"/>
      </bottom>
      <diagonal/>
    </border>
    <border>
      <left/>
      <right/>
      <top style="medium">
        <color rgb="FFFFFFFF"/>
      </top>
      <bottom style="medium">
        <color rgb="FFFFFFFF"/>
      </bottom>
      <diagonal/>
    </border>
  </borders>
  <cellStyleXfs count="15">
    <xf numFmtId="0" fontId="0" fillId="0" borderId="0"/>
    <xf numFmtId="9" fontId="8" fillId="0" borderId="0" applyFont="0" applyFill="0" applyBorder="0" applyAlignment="0" applyProtection="0"/>
    <xf numFmtId="0" fontId="7" fillId="0" borderId="0"/>
    <xf numFmtId="0" fontId="6" fillId="0" borderId="0"/>
    <xf numFmtId="9" fontId="28" fillId="0" borderId="0" applyFont="0" applyFill="0" applyBorder="0" applyAlignment="0" applyProtection="0"/>
    <xf numFmtId="0" fontId="28" fillId="0" borderId="0"/>
    <xf numFmtId="0" fontId="5" fillId="0" borderId="0"/>
    <xf numFmtId="0" fontId="5" fillId="0" borderId="0"/>
    <xf numFmtId="0" fontId="28" fillId="0" borderId="0"/>
    <xf numFmtId="0" fontId="8" fillId="0" borderId="0"/>
    <xf numFmtId="0" fontId="36" fillId="0" borderId="0" applyNumberForma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0" fontId="28" fillId="0" borderId="0"/>
    <xf numFmtId="0" fontId="42" fillId="0" borderId="0" applyNumberFormat="0" applyFill="0" applyBorder="0" applyAlignment="0" applyProtection="0"/>
  </cellStyleXfs>
  <cellXfs count="345">
    <xf numFmtId="0" fontId="0" fillId="0" borderId="0" xfId="0"/>
    <xf numFmtId="9" fontId="0" fillId="0" borderId="0" xfId="0" applyNumberFormat="1"/>
    <xf numFmtId="3" fontId="0" fillId="0" borderId="0" xfId="0" applyNumberFormat="1"/>
    <xf numFmtId="0" fontId="0" fillId="0" borderId="0" xfId="0" applyAlignment="1">
      <alignment horizontal="right"/>
    </xf>
    <xf numFmtId="0" fontId="0" fillId="0" borderId="1" xfId="0" applyBorder="1"/>
    <xf numFmtId="0" fontId="0" fillId="0" borderId="1" xfId="0" applyBorder="1" applyAlignment="1">
      <alignment horizontal="center"/>
    </xf>
    <xf numFmtId="3" fontId="0" fillId="0" borderId="1" xfId="0" applyNumberFormat="1" applyBorder="1" applyAlignment="1">
      <alignment horizontal="right"/>
    </xf>
    <xf numFmtId="164" fontId="0" fillId="0" borderId="1" xfId="0" applyNumberFormat="1" applyBorder="1" applyAlignment="1">
      <alignment horizontal="right"/>
    </xf>
    <xf numFmtId="9" fontId="0" fillId="0" borderId="1" xfId="0" applyNumberFormat="1" applyBorder="1"/>
    <xf numFmtId="0" fontId="9" fillId="0" borderId="0" xfId="0" applyFont="1"/>
    <xf numFmtId="3" fontId="0" fillId="0" borderId="1" xfId="0" applyNumberFormat="1" applyBorder="1"/>
    <xf numFmtId="9" fontId="0" fillId="0" borderId="0" xfId="1" applyFont="1" applyAlignment="1">
      <alignment horizontal="center"/>
    </xf>
    <xf numFmtId="167" fontId="0" fillId="0" borderId="0" xfId="0" applyNumberFormat="1"/>
    <xf numFmtId="9" fontId="0" fillId="0" borderId="0" xfId="1" applyFont="1"/>
    <xf numFmtId="4" fontId="0" fillId="0" borderId="0" xfId="0" applyNumberFormat="1"/>
    <xf numFmtId="0" fontId="0" fillId="0" borderId="2" xfId="0" applyBorder="1"/>
    <xf numFmtId="0" fontId="0" fillId="0" borderId="3" xfId="0" applyBorder="1"/>
    <xf numFmtId="0" fontId="0" fillId="0" borderId="4" xfId="0" applyBorder="1"/>
    <xf numFmtId="9" fontId="0" fillId="0" borderId="3" xfId="1" applyFont="1" applyBorder="1" applyAlignment="1">
      <alignment horizontal="center"/>
    </xf>
    <xf numFmtId="3" fontId="0" fillId="0" borderId="2" xfId="0" applyNumberFormat="1" applyBorder="1"/>
    <xf numFmtId="9" fontId="0" fillId="0" borderId="2" xfId="1" applyFont="1" applyBorder="1" applyAlignment="1">
      <alignment horizontal="center"/>
    </xf>
    <xf numFmtId="2" fontId="9" fillId="0" borderId="3" xfId="1" applyNumberFormat="1" applyFont="1" applyBorder="1" applyAlignment="1">
      <alignment horizontal="center"/>
    </xf>
    <xf numFmtId="0" fontId="0" fillId="0" borderId="4" xfId="0" applyBorder="1" applyAlignment="1">
      <alignment horizontal="center"/>
    </xf>
    <xf numFmtId="4" fontId="0" fillId="0" borderId="0" xfId="0" applyNumberFormat="1" applyAlignment="1">
      <alignment horizontal="center"/>
    </xf>
    <xf numFmtId="4" fontId="0" fillId="0" borderId="2" xfId="0" applyNumberFormat="1" applyBorder="1" applyAlignment="1">
      <alignment horizontal="center"/>
    </xf>
    <xf numFmtId="2" fontId="0" fillId="0" borderId="0" xfId="0" applyNumberFormat="1"/>
    <xf numFmtId="2" fontId="0" fillId="0" borderId="2" xfId="0" applyNumberFormat="1" applyBorder="1"/>
    <xf numFmtId="2" fontId="0" fillId="0" borderId="0" xfId="0" applyNumberFormat="1" applyAlignment="1">
      <alignment horizontal="center"/>
    </xf>
    <xf numFmtId="0" fontId="0" fillId="0" borderId="0" xfId="0" applyAlignment="1">
      <alignment horizontal="center"/>
    </xf>
    <xf numFmtId="2" fontId="0" fillId="0" borderId="3" xfId="0" applyNumberFormat="1" applyBorder="1" applyAlignment="1">
      <alignment horizontal="center"/>
    </xf>
    <xf numFmtId="0" fontId="0" fillId="0" borderId="3" xfId="0" applyBorder="1" applyAlignment="1">
      <alignment horizontal="center"/>
    </xf>
    <xf numFmtId="2" fontId="9" fillId="0" borderId="0" xfId="0" applyNumberFormat="1" applyFont="1" applyAlignment="1">
      <alignment horizontal="left"/>
    </xf>
    <xf numFmtId="3" fontId="0" fillId="0" borderId="3" xfId="0" applyNumberFormat="1" applyBorder="1"/>
    <xf numFmtId="0" fontId="0" fillId="0" borderId="4" xfId="0" applyBorder="1" applyAlignment="1">
      <alignment horizontal="right"/>
    </xf>
    <xf numFmtId="3" fontId="0" fillId="0" borderId="0" xfId="0" applyNumberFormat="1" applyAlignment="1">
      <alignment horizontal="right"/>
    </xf>
    <xf numFmtId="3" fontId="0" fillId="0" borderId="2" xfId="0" applyNumberFormat="1" applyBorder="1" applyAlignment="1">
      <alignment horizontal="right"/>
    </xf>
    <xf numFmtId="0" fontId="0" fillId="0" borderId="3" xfId="0" applyBorder="1" applyAlignment="1">
      <alignment horizontal="right"/>
    </xf>
    <xf numFmtId="0" fontId="9" fillId="0" borderId="5" xfId="0" applyFont="1" applyBorder="1"/>
    <xf numFmtId="0" fontId="9" fillId="0" borderId="6" xfId="0" applyFont="1" applyBorder="1"/>
    <xf numFmtId="0" fontId="11" fillId="0" borderId="0" xfId="0" applyFont="1"/>
    <xf numFmtId="0" fontId="11" fillId="0" borderId="2" xfId="0" applyFont="1" applyBorder="1"/>
    <xf numFmtId="0" fontId="11" fillId="0" borderId="6" xfId="0" applyFont="1" applyBorder="1"/>
    <xf numFmtId="0" fontId="9" fillId="0" borderId="2" xfId="0" applyFont="1" applyBorder="1"/>
    <xf numFmtId="3" fontId="11" fillId="0" borderId="6" xfId="0" applyNumberFormat="1" applyFont="1" applyBorder="1"/>
    <xf numFmtId="3" fontId="11" fillId="0" borderId="0" xfId="0" applyNumberFormat="1" applyFont="1"/>
    <xf numFmtId="3" fontId="11" fillId="0" borderId="6" xfId="0" applyNumberFormat="1" applyFont="1" applyBorder="1" applyAlignment="1">
      <alignment horizontal="center"/>
    </xf>
    <xf numFmtId="9" fontId="0" fillId="0" borderId="6" xfId="1" applyFont="1" applyBorder="1" applyAlignment="1">
      <alignment horizontal="center"/>
    </xf>
    <xf numFmtId="9" fontId="0" fillId="0" borderId="6" xfId="0" applyNumberFormat="1" applyBorder="1" applyAlignment="1">
      <alignment horizontal="center"/>
    </xf>
    <xf numFmtId="9" fontId="0" fillId="0" borderId="6" xfId="1" applyFont="1" applyBorder="1" applyAlignment="1"/>
    <xf numFmtId="168" fontId="0" fillId="0" borderId="6" xfId="1" applyNumberFormat="1" applyFont="1" applyBorder="1" applyAlignment="1">
      <alignment horizontal="center"/>
    </xf>
    <xf numFmtId="168" fontId="0" fillId="0" borderId="0" xfId="0" applyNumberFormat="1"/>
    <xf numFmtId="168" fontId="9" fillId="0" borderId="6" xfId="0" applyNumberFormat="1" applyFont="1" applyBorder="1" applyAlignment="1">
      <alignment horizontal="center"/>
    </xf>
    <xf numFmtId="0" fontId="9" fillId="0" borderId="6" xfId="0" applyFont="1" applyBorder="1" applyAlignment="1">
      <alignment horizontal="center"/>
    </xf>
    <xf numFmtId="0" fontId="0" fillId="0" borderId="7" xfId="0" applyBorder="1"/>
    <xf numFmtId="0" fontId="0" fillId="0" borderId="6" xfId="0" applyBorder="1"/>
    <xf numFmtId="0" fontId="9" fillId="0" borderId="1" xfId="0" applyFont="1" applyBorder="1"/>
    <xf numFmtId="0" fontId="0" fillId="0" borderId="9" xfId="0" applyBorder="1"/>
    <xf numFmtId="0" fontId="0" fillId="0" borderId="5" xfId="0" applyBorder="1"/>
    <xf numFmtId="0" fontId="0" fillId="0" borderId="10" xfId="0" applyBorder="1"/>
    <xf numFmtId="0" fontId="0" fillId="0" borderId="11" xfId="0" applyBorder="1"/>
    <xf numFmtId="9" fontId="0" fillId="0" borderId="12" xfId="0" applyNumberFormat="1" applyBorder="1"/>
    <xf numFmtId="0" fontId="0" fillId="0" borderId="13" xfId="0" applyBorder="1"/>
    <xf numFmtId="168" fontId="11" fillId="0" borderId="0" xfId="1" applyNumberFormat="1" applyFont="1"/>
    <xf numFmtId="9" fontId="11" fillId="0" borderId="0" xfId="1" applyFont="1"/>
    <xf numFmtId="9" fontId="11" fillId="0" borderId="6" xfId="1" applyFont="1" applyBorder="1"/>
    <xf numFmtId="167" fontId="11" fillId="0" borderId="0" xfId="0" applyNumberFormat="1" applyFont="1"/>
    <xf numFmtId="168" fontId="0" fillId="0" borderId="6" xfId="1" applyNumberFormat="1" applyFont="1" applyBorder="1"/>
    <xf numFmtId="168" fontId="9" fillId="0" borderId="6" xfId="1" applyNumberFormat="1" applyFont="1" applyBorder="1"/>
    <xf numFmtId="167" fontId="0" fillId="0" borderId="1" xfId="0" applyNumberFormat="1" applyBorder="1"/>
    <xf numFmtId="9" fontId="8" fillId="0" borderId="1" xfId="1" applyBorder="1"/>
    <xf numFmtId="10" fontId="8" fillId="0" borderId="1" xfId="1" applyNumberFormat="1" applyBorder="1"/>
    <xf numFmtId="10" fontId="0" fillId="0" borderId="1" xfId="0" applyNumberFormat="1" applyBorder="1"/>
    <xf numFmtId="167" fontId="0" fillId="0" borderId="0" xfId="0" applyNumberFormat="1" applyAlignment="1">
      <alignment horizontal="right"/>
    </xf>
    <xf numFmtId="2" fontId="0" fillId="0" borderId="0" xfId="0" applyNumberFormat="1" applyAlignment="1">
      <alignment horizontal="right"/>
    </xf>
    <xf numFmtId="0" fontId="0" fillId="0" borderId="5" xfId="0" applyBorder="1" applyAlignment="1">
      <alignment horizontal="right"/>
    </xf>
    <xf numFmtId="2" fontId="0" fillId="0" borderId="5" xfId="0" applyNumberFormat="1" applyBorder="1" applyAlignment="1">
      <alignment horizontal="right"/>
    </xf>
    <xf numFmtId="0" fontId="0" fillId="0" borderId="15" xfId="0" applyBorder="1"/>
    <xf numFmtId="2" fontId="0" fillId="0" borderId="15" xfId="0" applyNumberFormat="1" applyBorder="1"/>
    <xf numFmtId="0" fontId="9" fillId="0" borderId="3" xfId="0" applyFont="1" applyBorder="1"/>
    <xf numFmtId="2" fontId="9" fillId="0" borderId="3" xfId="0" applyNumberFormat="1" applyFont="1" applyBorder="1"/>
    <xf numFmtId="9" fontId="8" fillId="0" borderId="0" xfId="1" applyAlignment="1">
      <alignment horizontal="center"/>
    </xf>
    <xf numFmtId="9" fontId="8" fillId="0" borderId="0" xfId="1"/>
    <xf numFmtId="0" fontId="9" fillId="0" borderId="6" xfId="0" applyFont="1" applyBorder="1" applyAlignment="1">
      <alignment horizontal="right"/>
    </xf>
    <xf numFmtId="167" fontId="12" fillId="0" borderId="0" xfId="0" applyNumberFormat="1" applyFont="1" applyAlignment="1">
      <alignment horizontal="right"/>
    </xf>
    <xf numFmtId="168" fontId="8" fillId="0" borderId="0" xfId="1" applyNumberFormat="1"/>
    <xf numFmtId="0" fontId="0" fillId="0" borderId="0" xfId="0" quotePrefix="1"/>
    <xf numFmtId="167" fontId="0" fillId="0" borderId="6" xfId="0" applyNumberFormat="1" applyBorder="1" applyAlignment="1">
      <alignment horizontal="right"/>
    </xf>
    <xf numFmtId="0" fontId="12" fillId="0" borderId="0" xfId="0" applyFont="1"/>
    <xf numFmtId="0" fontId="9" fillId="0" borderId="9" xfId="0" applyFont="1" applyBorder="1"/>
    <xf numFmtId="166" fontId="0" fillId="0" borderId="0" xfId="0" applyNumberFormat="1"/>
    <xf numFmtId="167" fontId="0" fillId="0" borderId="6" xfId="0" applyNumberFormat="1" applyBorder="1"/>
    <xf numFmtId="170" fontId="0" fillId="0" borderId="0" xfId="0" applyNumberFormat="1"/>
    <xf numFmtId="9" fontId="0" fillId="0" borderId="0" xfId="1" applyFont="1" applyAlignment="1">
      <alignment horizontal="right"/>
    </xf>
    <xf numFmtId="9" fontId="0" fillId="0" borderId="0" xfId="0" applyNumberFormat="1" applyAlignment="1">
      <alignment horizontal="right"/>
    </xf>
    <xf numFmtId="10" fontId="0" fillId="0" borderId="6" xfId="0" applyNumberFormat="1" applyBorder="1"/>
    <xf numFmtId="0" fontId="0" fillId="0" borderId="12" xfId="0" applyBorder="1"/>
    <xf numFmtId="0" fontId="0" fillId="0" borderId="14" xfId="0" applyBorder="1"/>
    <xf numFmtId="167" fontId="0" fillId="0" borderId="6" xfId="0" applyNumberFormat="1" applyBorder="1" applyAlignment="1">
      <alignment horizontal="left"/>
    </xf>
    <xf numFmtId="0" fontId="13" fillId="0" borderId="0" xfId="0" applyFont="1"/>
    <xf numFmtId="0" fontId="14" fillId="0" borderId="6" xfId="0" applyFont="1" applyBorder="1"/>
    <xf numFmtId="0" fontId="14" fillId="0" borderId="2" xfId="0" applyFont="1" applyBorder="1"/>
    <xf numFmtId="0" fontId="9" fillId="0" borderId="6" xfId="0" applyFont="1" applyBorder="1" applyAlignment="1">
      <alignment horizontal="left"/>
    </xf>
    <xf numFmtId="165" fontId="0" fillId="0" borderId="0" xfId="0" applyNumberFormat="1"/>
    <xf numFmtId="168" fontId="0" fillId="0" borderId="2" xfId="0" applyNumberFormat="1" applyBorder="1"/>
    <xf numFmtId="168" fontId="8" fillId="0" borderId="0" xfId="1" applyNumberFormat="1" applyFont="1"/>
    <xf numFmtId="166" fontId="0" fillId="0" borderId="0" xfId="0" applyNumberFormat="1" applyAlignment="1">
      <alignment horizontal="center"/>
    </xf>
    <xf numFmtId="169" fontId="0" fillId="0" borderId="0" xfId="0" applyNumberFormat="1"/>
    <xf numFmtId="0" fontId="0" fillId="2" borderId="0" xfId="0" applyFill="1"/>
    <xf numFmtId="0" fontId="15" fillId="2" borderId="0" xfId="0" applyFont="1" applyFill="1"/>
    <xf numFmtId="0" fontId="9" fillId="2" borderId="0" xfId="0" applyFont="1" applyFill="1"/>
    <xf numFmtId="14" fontId="0" fillId="2" borderId="0" xfId="0" applyNumberFormat="1" applyFill="1"/>
    <xf numFmtId="0" fontId="0" fillId="0" borderId="16" xfId="0" applyBorder="1"/>
    <xf numFmtId="0" fontId="9" fillId="2" borderId="17" xfId="0" applyFont="1" applyFill="1" applyBorder="1"/>
    <xf numFmtId="0" fontId="16" fillId="0" borderId="0" xfId="0" applyFont="1"/>
    <xf numFmtId="0" fontId="0" fillId="3" borderId="0" xfId="0" applyFill="1"/>
    <xf numFmtId="0" fontId="9" fillId="3" borderId="0" xfId="0" applyFont="1" applyFill="1" applyAlignment="1">
      <alignment horizontal="center"/>
    </xf>
    <xf numFmtId="3" fontId="0" fillId="3" borderId="0" xfId="0" applyNumberFormat="1" applyFill="1"/>
    <xf numFmtId="168" fontId="8" fillId="3" borderId="0" xfId="1" applyNumberFormat="1" applyFill="1"/>
    <xf numFmtId="4" fontId="0" fillId="3" borderId="0" xfId="0" applyNumberFormat="1" applyFill="1"/>
    <xf numFmtId="165" fontId="0" fillId="3" borderId="0" xfId="0" applyNumberFormat="1" applyFill="1"/>
    <xf numFmtId="168" fontId="0" fillId="3" borderId="0" xfId="0" applyNumberFormat="1" applyFill="1"/>
    <xf numFmtId="2" fontId="0" fillId="3" borderId="0" xfId="0" applyNumberFormat="1" applyFill="1"/>
    <xf numFmtId="168" fontId="8" fillId="3" borderId="0" xfId="1" applyNumberFormat="1" applyFont="1" applyFill="1"/>
    <xf numFmtId="166" fontId="0" fillId="3" borderId="0" xfId="0" applyNumberFormat="1" applyFill="1"/>
    <xf numFmtId="0" fontId="11" fillId="3" borderId="0" xfId="0" applyFont="1" applyFill="1"/>
    <xf numFmtId="9" fontId="11" fillId="3" borderId="0" xfId="1" applyFont="1" applyFill="1" applyBorder="1"/>
    <xf numFmtId="0" fontId="0" fillId="4" borderId="0" xfId="0" applyFill="1"/>
    <xf numFmtId="0" fontId="9" fillId="4" borderId="0" xfId="0" applyFont="1" applyFill="1" applyAlignment="1">
      <alignment horizontal="center"/>
    </xf>
    <xf numFmtId="3" fontId="0" fillId="4" borderId="0" xfId="0" applyNumberFormat="1" applyFill="1"/>
    <xf numFmtId="168" fontId="8" fillId="4" borderId="0" xfId="1" applyNumberFormat="1" applyFill="1"/>
    <xf numFmtId="4" fontId="0" fillId="4" borderId="0" xfId="0" applyNumberFormat="1" applyFill="1"/>
    <xf numFmtId="165" fontId="0" fillId="4" borderId="0" xfId="0" applyNumberFormat="1" applyFill="1"/>
    <xf numFmtId="168" fontId="0" fillId="4" borderId="0" xfId="0" applyNumberFormat="1" applyFill="1"/>
    <xf numFmtId="2" fontId="0" fillId="4" borderId="0" xfId="0" applyNumberFormat="1" applyFill="1"/>
    <xf numFmtId="168" fontId="8" fillId="4" borderId="0" xfId="1" applyNumberFormat="1" applyFont="1" applyFill="1"/>
    <xf numFmtId="166" fontId="0" fillId="4" borderId="0" xfId="0" applyNumberFormat="1" applyFill="1"/>
    <xf numFmtId="0" fontId="11" fillId="4" borderId="0" xfId="0" applyFont="1" applyFill="1"/>
    <xf numFmtId="9" fontId="11" fillId="4" borderId="0" xfId="1" applyFont="1" applyFill="1" applyBorder="1"/>
    <xf numFmtId="168" fontId="9" fillId="0" borderId="1" xfId="0" applyNumberFormat="1" applyFont="1" applyBorder="1"/>
    <xf numFmtId="10" fontId="9" fillId="0" borderId="1" xfId="1" applyNumberFormat="1" applyFont="1" applyBorder="1"/>
    <xf numFmtId="0" fontId="17" fillId="0" borderId="0" xfId="0" applyFont="1"/>
    <xf numFmtId="0" fontId="11" fillId="0" borderId="1" xfId="0" applyFont="1" applyBorder="1"/>
    <xf numFmtId="1" fontId="9" fillId="0" borderId="1" xfId="0" applyNumberFormat="1" applyFont="1" applyBorder="1"/>
    <xf numFmtId="167" fontId="9" fillId="0" borderId="6" xfId="0" applyNumberFormat="1" applyFont="1" applyBorder="1"/>
    <xf numFmtId="167" fontId="9" fillId="0" borderId="0" xfId="0" applyNumberFormat="1" applyFont="1"/>
    <xf numFmtId="0" fontId="0" fillId="0" borderId="6" xfId="0" applyBorder="1" applyAlignment="1">
      <alignment horizontal="center"/>
    </xf>
    <xf numFmtId="10" fontId="9" fillId="0" borderId="6" xfId="0" applyNumberFormat="1" applyFont="1" applyBorder="1"/>
    <xf numFmtId="166" fontId="0" fillId="0" borderId="6" xfId="0" applyNumberFormat="1" applyBorder="1"/>
    <xf numFmtId="166" fontId="0" fillId="0" borderId="6" xfId="0" applyNumberFormat="1" applyBorder="1" applyAlignment="1">
      <alignment horizontal="right"/>
    </xf>
    <xf numFmtId="166" fontId="0" fillId="0" borderId="0" xfId="0" applyNumberFormat="1" applyAlignment="1">
      <alignment horizontal="right"/>
    </xf>
    <xf numFmtId="0" fontId="0" fillId="0" borderId="6" xfId="0" applyBorder="1" applyAlignment="1">
      <alignment horizontal="right"/>
    </xf>
    <xf numFmtId="0" fontId="0" fillId="0" borderId="12" xfId="0" applyBorder="1" applyAlignment="1">
      <alignment horizontal="right"/>
    </xf>
    <xf numFmtId="9" fontId="0" fillId="0" borderId="10" xfId="0" applyNumberFormat="1" applyBorder="1"/>
    <xf numFmtId="9" fontId="0" fillId="0" borderId="14" xfId="0" applyNumberFormat="1" applyBorder="1"/>
    <xf numFmtId="1" fontId="0" fillId="0" borderId="6" xfId="0" applyNumberFormat="1" applyBorder="1" applyAlignment="1">
      <alignment horizontal="right"/>
    </xf>
    <xf numFmtId="0" fontId="10" fillId="0" borderId="0" xfId="0" applyFont="1"/>
    <xf numFmtId="166" fontId="9" fillId="0" borderId="6" xfId="0" applyNumberFormat="1" applyFont="1" applyBorder="1"/>
    <xf numFmtId="167" fontId="9" fillId="0" borderId="6" xfId="0" applyNumberFormat="1" applyFont="1" applyBorder="1" applyAlignment="1">
      <alignment horizontal="right"/>
    </xf>
    <xf numFmtId="167" fontId="0" fillId="0" borderId="11" xfId="0" applyNumberFormat="1" applyBorder="1" applyAlignment="1">
      <alignment horizontal="right"/>
    </xf>
    <xf numFmtId="0" fontId="0" fillId="0" borderId="8" xfId="0" applyBorder="1"/>
    <xf numFmtId="171" fontId="0" fillId="0" borderId="11" xfId="0" applyNumberFormat="1" applyBorder="1"/>
    <xf numFmtId="171" fontId="0" fillId="0" borderId="0" xfId="0" applyNumberFormat="1"/>
    <xf numFmtId="171" fontId="0" fillId="0" borderId="12" xfId="0" applyNumberFormat="1" applyBorder="1"/>
    <xf numFmtId="171" fontId="0" fillId="0" borderId="14" xfId="0" applyNumberFormat="1" applyBorder="1"/>
    <xf numFmtId="1" fontId="0" fillId="0" borderId="6" xfId="0" applyNumberFormat="1" applyBorder="1"/>
    <xf numFmtId="3" fontId="9" fillId="0" borderId="0" xfId="0" applyNumberFormat="1" applyFont="1"/>
    <xf numFmtId="3" fontId="9" fillId="0" borderId="6" xfId="0" applyNumberFormat="1" applyFont="1" applyBorder="1"/>
    <xf numFmtId="10" fontId="0" fillId="0" borderId="0" xfId="1" applyNumberFormat="1" applyFont="1"/>
    <xf numFmtId="0" fontId="0" fillId="0" borderId="1" xfId="0" applyBorder="1" applyAlignment="1">
      <alignment horizontal="right"/>
    </xf>
    <xf numFmtId="166" fontId="0" fillId="0" borderId="1" xfId="0" applyNumberFormat="1" applyBorder="1" applyAlignment="1">
      <alignment horizontal="right"/>
    </xf>
    <xf numFmtId="167" fontId="0" fillId="0" borderId="1" xfId="0" applyNumberFormat="1" applyBorder="1" applyAlignment="1">
      <alignment horizontal="right"/>
    </xf>
    <xf numFmtId="0" fontId="8" fillId="0" borderId="6" xfId="0" applyFont="1" applyBorder="1"/>
    <xf numFmtId="0" fontId="7" fillId="0" borderId="0" xfId="2"/>
    <xf numFmtId="0" fontId="22" fillId="0" borderId="3" xfId="2" applyFont="1" applyBorder="1" applyAlignment="1">
      <alignment vertical="center"/>
    </xf>
    <xf numFmtId="0" fontId="7" fillId="0" borderId="18" xfId="2" applyBorder="1" applyAlignment="1">
      <alignment vertical="center"/>
    </xf>
    <xf numFmtId="0" fontId="7" fillId="0" borderId="19" xfId="2" applyBorder="1" applyAlignment="1">
      <alignment vertical="center" wrapText="1"/>
    </xf>
    <xf numFmtId="0" fontId="7" fillId="0" borderId="19" xfId="2" applyBorder="1" applyAlignment="1">
      <alignment vertical="center"/>
    </xf>
    <xf numFmtId="0" fontId="7" fillId="0" borderId="20" xfId="2" applyBorder="1" applyAlignment="1">
      <alignment vertical="center"/>
    </xf>
    <xf numFmtId="0" fontId="7" fillId="0" borderId="20" xfId="2" applyBorder="1" applyAlignment="1">
      <alignment horizontal="right" vertical="center"/>
    </xf>
    <xf numFmtId="0" fontId="7" fillId="0" borderId="0" xfId="2" applyAlignment="1">
      <alignment vertical="center"/>
    </xf>
    <xf numFmtId="3" fontId="7" fillId="0" borderId="0" xfId="2" applyNumberFormat="1" applyAlignment="1">
      <alignment horizontal="right" vertical="center"/>
    </xf>
    <xf numFmtId="0" fontId="7" fillId="0" borderId="21" xfId="2" applyBorder="1" applyAlignment="1">
      <alignment vertical="center"/>
    </xf>
    <xf numFmtId="3" fontId="7" fillId="0" borderId="22" xfId="2" applyNumberFormat="1" applyBorder="1" applyAlignment="1">
      <alignment vertical="center" wrapText="1"/>
    </xf>
    <xf numFmtId="3" fontId="7" fillId="0" borderId="22" xfId="2" applyNumberFormat="1" applyBorder="1" applyAlignment="1">
      <alignment vertical="center"/>
    </xf>
    <xf numFmtId="3" fontId="7" fillId="0" borderId="20" xfId="2" applyNumberFormat="1" applyBorder="1" applyAlignment="1">
      <alignment horizontal="right" vertical="center"/>
    </xf>
    <xf numFmtId="0" fontId="21" fillId="5" borderId="23" xfId="2" applyFont="1" applyFill="1" applyBorder="1"/>
    <xf numFmtId="0" fontId="21" fillId="5" borderId="24" xfId="2" applyFont="1" applyFill="1" applyBorder="1"/>
    <xf numFmtId="0" fontId="21" fillId="5" borderId="25" xfId="2" applyFont="1" applyFill="1" applyBorder="1"/>
    <xf numFmtId="0" fontId="7" fillId="0" borderId="23" xfId="2" applyBorder="1"/>
    <xf numFmtId="3" fontId="7" fillId="0" borderId="24" xfId="2" applyNumberFormat="1" applyBorder="1"/>
    <xf numFmtId="3" fontId="7" fillId="0" borderId="25" xfId="2" applyNumberFormat="1" applyBorder="1"/>
    <xf numFmtId="0" fontId="7" fillId="0" borderId="22" xfId="2" applyBorder="1" applyAlignment="1">
      <alignment vertical="top"/>
    </xf>
    <xf numFmtId="0" fontId="23" fillId="0" borderId="0" xfId="2" applyFont="1" applyAlignment="1">
      <alignment vertical="center"/>
    </xf>
    <xf numFmtId="3" fontId="23" fillId="0" borderId="0" xfId="2" applyNumberFormat="1" applyFont="1" applyAlignment="1">
      <alignment horizontal="right" vertical="center"/>
    </xf>
    <xf numFmtId="0" fontId="22" fillId="0" borderId="21" xfId="2" applyFont="1" applyBorder="1" applyAlignment="1">
      <alignment vertical="center"/>
    </xf>
    <xf numFmtId="3" fontId="22" fillId="0" borderId="22" xfId="2" applyNumberFormat="1" applyFont="1" applyBorder="1" applyAlignment="1">
      <alignment vertical="center"/>
    </xf>
    <xf numFmtId="0" fontId="7" fillId="0" borderId="3" xfId="2" applyBorder="1" applyAlignment="1">
      <alignment vertical="center"/>
    </xf>
    <xf numFmtId="3" fontId="7" fillId="0" borderId="3" xfId="2" applyNumberFormat="1" applyBorder="1" applyAlignment="1">
      <alignment horizontal="right" vertical="center"/>
    </xf>
    <xf numFmtId="3" fontId="7" fillId="0" borderId="22" xfId="2" applyNumberFormat="1" applyBorder="1" applyAlignment="1">
      <alignment vertical="top"/>
    </xf>
    <xf numFmtId="3" fontId="22" fillId="0" borderId="0" xfId="2" applyNumberFormat="1" applyFont="1" applyAlignment="1">
      <alignment horizontal="right" vertical="center"/>
    </xf>
    <xf numFmtId="0" fontId="22" fillId="0" borderId="23" xfId="2" applyFont="1" applyBorder="1"/>
    <xf numFmtId="3" fontId="22" fillId="0" borderId="24" xfId="2" applyNumberFormat="1" applyFont="1" applyBorder="1"/>
    <xf numFmtId="3" fontId="22" fillId="0" borderId="25" xfId="2" applyNumberFormat="1" applyFont="1" applyBorder="1"/>
    <xf numFmtId="0" fontId="22" fillId="0" borderId="22" xfId="2" applyFont="1" applyBorder="1" applyAlignment="1">
      <alignment vertical="center"/>
    </xf>
    <xf numFmtId="0" fontId="7" fillId="0" borderId="21" xfId="2" applyBorder="1" applyAlignment="1">
      <alignment vertical="top"/>
    </xf>
    <xf numFmtId="3" fontId="22" fillId="6" borderId="22" xfId="2" applyNumberFormat="1" applyFont="1" applyFill="1" applyBorder="1" applyAlignment="1">
      <alignment vertical="center"/>
    </xf>
    <xf numFmtId="0" fontId="22" fillId="0" borderId="26" xfId="2" applyFont="1" applyBorder="1"/>
    <xf numFmtId="3" fontId="22" fillId="0" borderId="27" xfId="2" applyNumberFormat="1" applyFont="1" applyBorder="1"/>
    <xf numFmtId="3" fontId="7" fillId="0" borderId="27" xfId="2" applyNumberFormat="1" applyBorder="1"/>
    <xf numFmtId="3" fontId="7" fillId="0" borderId="28" xfId="2" applyNumberFormat="1" applyBorder="1"/>
    <xf numFmtId="3" fontId="7" fillId="6" borderId="0" xfId="2" applyNumberFormat="1" applyFill="1" applyAlignment="1">
      <alignment horizontal="right" vertical="center"/>
    </xf>
    <xf numFmtId="9" fontId="7" fillId="6" borderId="0" xfId="2" applyNumberFormat="1" applyFill="1"/>
    <xf numFmtId="10" fontId="7" fillId="6" borderId="0" xfId="2" applyNumberFormat="1" applyFill="1"/>
    <xf numFmtId="0" fontId="25" fillId="0" borderId="1" xfId="0" applyFont="1" applyBorder="1" applyAlignment="1">
      <alignment vertical="center"/>
    </xf>
    <xf numFmtId="0" fontId="25" fillId="7" borderId="1" xfId="0" applyFont="1" applyFill="1" applyBorder="1" applyAlignment="1">
      <alignment vertical="center"/>
    </xf>
    <xf numFmtId="0" fontId="25" fillId="7" borderId="29" xfId="0" applyFont="1" applyFill="1" applyBorder="1" applyAlignment="1">
      <alignment horizontal="right" vertical="center"/>
    </xf>
    <xf numFmtId="0" fontId="24" fillId="0" borderId="1" xfId="0" applyFont="1" applyBorder="1" applyAlignment="1">
      <alignment vertical="top"/>
    </xf>
    <xf numFmtId="3" fontId="25"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168" fontId="26" fillId="0" borderId="1" xfId="0" applyNumberFormat="1" applyFont="1" applyBorder="1" applyAlignment="1">
      <alignment horizontal="right" vertical="center"/>
    </xf>
    <xf numFmtId="0" fontId="8" fillId="0" borderId="0" xfId="0" applyFont="1"/>
    <xf numFmtId="0" fontId="8" fillId="0" borderId="2" xfId="0" applyFont="1" applyBorder="1"/>
    <xf numFmtId="166" fontId="0" fillId="0" borderId="2" xfId="0" applyNumberFormat="1" applyBorder="1"/>
    <xf numFmtId="0" fontId="8" fillId="0" borderId="5" xfId="0" applyFont="1" applyBorder="1"/>
    <xf numFmtId="166" fontId="0" fillId="0" borderId="5" xfId="0" applyNumberFormat="1" applyBorder="1"/>
    <xf numFmtId="167" fontId="0" fillId="0" borderId="2" xfId="0" applyNumberFormat="1" applyBorder="1"/>
    <xf numFmtId="4" fontId="9" fillId="0" borderId="0" xfId="0" applyNumberFormat="1" applyFont="1"/>
    <xf numFmtId="1" fontId="9" fillId="0" borderId="0" xfId="0" applyNumberFormat="1" applyFont="1"/>
    <xf numFmtId="168" fontId="0" fillId="0" borderId="0" xfId="1" applyNumberFormat="1" applyFont="1"/>
    <xf numFmtId="172" fontId="0" fillId="0" borderId="0" xfId="0" applyNumberFormat="1"/>
    <xf numFmtId="173" fontId="0" fillId="0" borderId="0" xfId="0" applyNumberFormat="1"/>
    <xf numFmtId="0" fontId="6" fillId="0" borderId="0" xfId="3"/>
    <xf numFmtId="0" fontId="22" fillId="0" borderId="30" xfId="3" applyFont="1" applyBorder="1"/>
    <xf numFmtId="0" fontId="6" fillId="0" borderId="30" xfId="3" applyBorder="1"/>
    <xf numFmtId="0" fontId="27" fillId="0" borderId="30" xfId="3" applyFont="1" applyBorder="1"/>
    <xf numFmtId="3" fontId="6" fillId="0" borderId="0" xfId="3" applyNumberFormat="1"/>
    <xf numFmtId="0" fontId="22" fillId="0" borderId="0" xfId="3" applyFont="1"/>
    <xf numFmtId="0" fontId="22" fillId="0" borderId="2" xfId="3" applyFont="1" applyBorder="1"/>
    <xf numFmtId="1" fontId="22" fillId="0" borderId="2" xfId="3" applyNumberFormat="1" applyFont="1" applyBorder="1"/>
    <xf numFmtId="0" fontId="6" fillId="0" borderId="31" xfId="3" applyBorder="1"/>
    <xf numFmtId="3" fontId="6" fillId="0" borderId="31" xfId="3" applyNumberFormat="1" applyBorder="1"/>
    <xf numFmtId="3" fontId="22" fillId="0" borderId="0" xfId="3" applyNumberFormat="1" applyFont="1"/>
    <xf numFmtId="0" fontId="6" fillId="0" borderId="2" xfId="3" applyBorder="1"/>
    <xf numFmtId="3" fontId="6" fillId="0" borderId="2" xfId="3" applyNumberFormat="1" applyBorder="1"/>
    <xf numFmtId="0" fontId="6" fillId="0" borderId="32" xfId="3" applyBorder="1"/>
    <xf numFmtId="3" fontId="6" fillId="0" borderId="32" xfId="3" applyNumberFormat="1" applyBorder="1"/>
    <xf numFmtId="0" fontId="22" fillId="0" borderId="33" xfId="3" applyFont="1" applyBorder="1"/>
    <xf numFmtId="3" fontId="22" fillId="0" borderId="33" xfId="3" applyNumberFormat="1" applyFont="1" applyBorder="1"/>
    <xf numFmtId="3" fontId="22" fillId="0" borderId="2" xfId="3" applyNumberFormat="1" applyFont="1" applyBorder="1"/>
    <xf numFmtId="0" fontId="6" fillId="0" borderId="34" xfId="3" applyBorder="1"/>
    <xf numFmtId="3" fontId="6" fillId="0" borderId="34" xfId="3" applyNumberFormat="1" applyBorder="1"/>
    <xf numFmtId="168" fontId="22" fillId="0" borderId="0" xfId="4" applyNumberFormat="1" applyFont="1"/>
    <xf numFmtId="4" fontId="6" fillId="0" borderId="0" xfId="3" applyNumberFormat="1"/>
    <xf numFmtId="0" fontId="9" fillId="0" borderId="0" xfId="0" applyFont="1" applyAlignment="1">
      <alignment horizontal="center"/>
    </xf>
    <xf numFmtId="10" fontId="0" fillId="0" borderId="0" xfId="1" applyNumberFormat="1" applyFont="1" applyAlignment="1"/>
    <xf numFmtId="0" fontId="35" fillId="8" borderId="0" xfId="6" applyFont="1" applyFill="1"/>
    <xf numFmtId="10" fontId="5" fillId="0" borderId="0" xfId="7" applyNumberFormat="1"/>
    <xf numFmtId="0" fontId="22" fillId="0" borderId="0" xfId="7" applyFont="1"/>
    <xf numFmtId="0" fontId="5" fillId="0" borderId="0" xfId="7"/>
    <xf numFmtId="0" fontId="29" fillId="0" borderId="0" xfId="8" applyFont="1"/>
    <xf numFmtId="0" fontId="30" fillId="0" borderId="0" xfId="9" applyFont="1" applyAlignment="1">
      <alignment horizontal="center"/>
    </xf>
    <xf numFmtId="0" fontId="30" fillId="0" borderId="0" xfId="8" applyFont="1" applyAlignment="1">
      <alignment horizontal="center"/>
    </xf>
    <xf numFmtId="0" fontId="36" fillId="0" borderId="0" xfId="10"/>
    <xf numFmtId="0" fontId="30" fillId="0" borderId="0" xfId="8" applyFont="1"/>
    <xf numFmtId="175" fontId="34" fillId="0" borderId="0" xfId="9" applyNumberFormat="1" applyFont="1"/>
    <xf numFmtId="175" fontId="22" fillId="0" borderId="0" xfId="8" applyNumberFormat="1" applyFont="1"/>
    <xf numFmtId="175" fontId="5" fillId="0" borderId="0" xfId="8" applyNumberFormat="1" applyFont="1"/>
    <xf numFmtId="175" fontId="5" fillId="0" borderId="0" xfId="7" applyNumberFormat="1"/>
    <xf numFmtId="9" fontId="0" fillId="0" borderId="0" xfId="11" applyFont="1"/>
    <xf numFmtId="0" fontId="31" fillId="0" borderId="0" xfId="8" applyFont="1"/>
    <xf numFmtId="168" fontId="5" fillId="0" borderId="0" xfId="4" applyNumberFormat="1" applyFont="1"/>
    <xf numFmtId="0" fontId="28" fillId="0" borderId="0" xfId="8"/>
    <xf numFmtId="2" fontId="5" fillId="0" borderId="0" xfId="7" applyNumberFormat="1"/>
    <xf numFmtId="166" fontId="5" fillId="0" borderId="0" xfId="7" applyNumberFormat="1"/>
    <xf numFmtId="175" fontId="37" fillId="0" borderId="0" xfId="9" applyNumberFormat="1" applyFont="1"/>
    <xf numFmtId="174" fontId="5" fillId="0" borderId="0" xfId="7" applyNumberFormat="1"/>
    <xf numFmtId="1" fontId="5" fillId="0" borderId="0" xfId="7" applyNumberFormat="1"/>
    <xf numFmtId="175" fontId="38" fillId="0" borderId="0" xfId="9" applyNumberFormat="1" applyFont="1"/>
    <xf numFmtId="9" fontId="5" fillId="0" borderId="0" xfId="12" applyFont="1"/>
    <xf numFmtId="3" fontId="5" fillId="0" borderId="0" xfId="7" applyNumberFormat="1"/>
    <xf numFmtId="0" fontId="30" fillId="0" borderId="0" xfId="9" applyFont="1"/>
    <xf numFmtId="174" fontId="28" fillId="0" borderId="0" xfId="8" applyNumberFormat="1"/>
    <xf numFmtId="0" fontId="22" fillId="0" borderId="5" xfId="7" applyFont="1" applyBorder="1"/>
    <xf numFmtId="174" fontId="22" fillId="0" borderId="5" xfId="7" applyNumberFormat="1" applyFont="1" applyBorder="1"/>
    <xf numFmtId="174" fontId="8" fillId="0" borderId="0" xfId="9" applyNumberFormat="1"/>
    <xf numFmtId="3" fontId="28" fillId="0" borderId="0" xfId="8" applyNumberFormat="1"/>
    <xf numFmtId="3" fontId="39" fillId="0" borderId="0" xfId="8" applyNumberFormat="1" applyFont="1"/>
    <xf numFmtId="0" fontId="23" fillId="0" borderId="0" xfId="7" applyFont="1"/>
    <xf numFmtId="0" fontId="22" fillId="0" borderId="2" xfId="7" applyFont="1" applyBorder="1"/>
    <xf numFmtId="0" fontId="30" fillId="0" borderId="2" xfId="9" applyFont="1" applyBorder="1" applyAlignment="1">
      <alignment horizontal="center"/>
    </xf>
    <xf numFmtId="0" fontId="30" fillId="0" borderId="2" xfId="8" applyFont="1" applyBorder="1" applyAlignment="1">
      <alignment horizontal="center"/>
    </xf>
    <xf numFmtId="3" fontId="22" fillId="0" borderId="0" xfId="7" applyNumberFormat="1" applyFont="1"/>
    <xf numFmtId="174" fontId="39" fillId="0" borderId="0" xfId="8" applyNumberFormat="1" applyFont="1"/>
    <xf numFmtId="0" fontId="9" fillId="0" borderId="6" xfId="9" applyFont="1" applyBorder="1" applyAlignment="1">
      <alignment horizontal="left"/>
    </xf>
    <xf numFmtId="0" fontId="8" fillId="0" borderId="0" xfId="8" applyFont="1"/>
    <xf numFmtId="174" fontId="22" fillId="0" borderId="0" xfId="7" applyNumberFormat="1" applyFont="1"/>
    <xf numFmtId="168" fontId="5" fillId="0" borderId="0" xfId="7" applyNumberFormat="1"/>
    <xf numFmtId="0" fontId="28" fillId="0" borderId="2" xfId="8" applyBorder="1"/>
    <xf numFmtId="0" fontId="31" fillId="0" borderId="0" xfId="9" applyFont="1"/>
    <xf numFmtId="0" fontId="16" fillId="0" borderId="0" xfId="9" applyFont="1"/>
    <xf numFmtId="0" fontId="40" fillId="0" borderId="0" xfId="9" applyFont="1"/>
    <xf numFmtId="0" fontId="8" fillId="0" borderId="0" xfId="9"/>
    <xf numFmtId="0" fontId="8" fillId="0" borderId="2" xfId="9" applyBorder="1"/>
    <xf numFmtId="174" fontId="9" fillId="0" borderId="0" xfId="9" applyNumberFormat="1" applyFont="1"/>
    <xf numFmtId="174" fontId="41" fillId="0" borderId="0" xfId="9" applyNumberFormat="1" applyFont="1"/>
    <xf numFmtId="0" fontId="31" fillId="0" borderId="0" xfId="13" applyFont="1"/>
    <xf numFmtId="174" fontId="28" fillId="0" borderId="0" xfId="13" applyNumberFormat="1"/>
    <xf numFmtId="174" fontId="32" fillId="0" borderId="0" xfId="13" applyNumberFormat="1" applyFont="1"/>
    <xf numFmtId="9" fontId="5" fillId="0" borderId="0" xfId="4" applyFont="1"/>
    <xf numFmtId="170" fontId="5" fillId="0" borderId="0" xfId="7" applyNumberFormat="1"/>
    <xf numFmtId="1" fontId="22" fillId="0" borderId="5" xfId="7" applyNumberFormat="1" applyFont="1" applyBorder="1"/>
    <xf numFmtId="0" fontId="4" fillId="0" borderId="0" xfId="2" applyFont="1"/>
    <xf numFmtId="0" fontId="0" fillId="9" borderId="0" xfId="0" applyFill="1"/>
    <xf numFmtId="0" fontId="3" fillId="0" borderId="0" xfId="2" applyFont="1"/>
    <xf numFmtId="10" fontId="0" fillId="2" borderId="0" xfId="0" applyNumberFormat="1" applyFill="1"/>
    <xf numFmtId="0" fontId="8" fillId="2" borderId="0" xfId="0" applyFont="1" applyFill="1"/>
    <xf numFmtId="0" fontId="42" fillId="2" borderId="0" xfId="14" applyFill="1"/>
    <xf numFmtId="0" fontId="43" fillId="2" borderId="0" xfId="0" applyFont="1" applyFill="1"/>
    <xf numFmtId="0" fontId="44" fillId="2" borderId="0" xfId="0" applyFont="1" applyFill="1"/>
    <xf numFmtId="0" fontId="45" fillId="2" borderId="0" xfId="0" applyFont="1" applyFill="1"/>
    <xf numFmtId="0" fontId="8" fillId="0" borderId="1" xfId="0" applyFont="1" applyBorder="1"/>
    <xf numFmtId="0" fontId="8" fillId="0" borderId="0" xfId="0" quotePrefix="1" applyFont="1"/>
    <xf numFmtId="1" fontId="0" fillId="0" borderId="0" xfId="0" applyNumberFormat="1"/>
    <xf numFmtId="168" fontId="8" fillId="3" borderId="0" xfId="1" applyNumberFormat="1" applyFill="1" applyBorder="1"/>
    <xf numFmtId="9" fontId="0" fillId="0" borderId="0" xfId="0" applyNumberFormat="1" applyAlignment="1">
      <alignment horizontal="center"/>
    </xf>
    <xf numFmtId="0" fontId="33" fillId="0" borderId="0" xfId="0" applyFont="1"/>
    <xf numFmtId="168" fontId="8" fillId="3" borderId="0" xfId="1" applyNumberFormat="1" applyFont="1" applyFill="1" applyBorder="1"/>
    <xf numFmtId="176" fontId="0" fillId="0" borderId="0" xfId="1" applyNumberFormat="1" applyFont="1" applyBorder="1"/>
    <xf numFmtId="0" fontId="0" fillId="10" borderId="0" xfId="0" applyFill="1"/>
    <xf numFmtId="0" fontId="9" fillId="6" borderId="0" xfId="0" quotePrefix="1" applyFont="1" applyFill="1"/>
    <xf numFmtId="0" fontId="9" fillId="6" borderId="0" xfId="0" applyFont="1" applyFill="1"/>
    <xf numFmtId="0" fontId="10" fillId="2" borderId="0" xfId="0" applyFont="1" applyFill="1"/>
    <xf numFmtId="0" fontId="16" fillId="10" borderId="0" xfId="0" applyFont="1" applyFill="1"/>
    <xf numFmtId="0" fontId="0" fillId="6" borderId="0" xfId="0" applyFill="1"/>
    <xf numFmtId="0" fontId="0" fillId="11" borderId="0" xfId="0" applyFill="1"/>
    <xf numFmtId="0" fontId="42" fillId="6" borderId="0" xfId="14" applyFill="1"/>
    <xf numFmtId="168" fontId="11" fillId="0" borderId="2" xfId="1" applyNumberFormat="1" applyFont="1" applyBorder="1"/>
    <xf numFmtId="168" fontId="11" fillId="0" borderId="6" xfId="1" applyNumberFormat="1" applyFont="1" applyBorder="1"/>
    <xf numFmtId="0" fontId="42" fillId="0" borderId="0" xfId="14"/>
    <xf numFmtId="0" fontId="45" fillId="0" borderId="2" xfId="0" applyFont="1" applyBorder="1"/>
    <xf numFmtId="0" fontId="46" fillId="12" borderId="35" xfId="0" applyFont="1" applyFill="1" applyBorder="1" applyAlignment="1">
      <alignment horizontal="center" vertical="center"/>
    </xf>
    <xf numFmtId="0" fontId="46" fillId="12" borderId="36" xfId="0" applyFont="1" applyFill="1" applyBorder="1" applyAlignment="1">
      <alignment horizontal="center" vertical="center"/>
    </xf>
    <xf numFmtId="0" fontId="2" fillId="0" borderId="0" xfId="3" applyFont="1"/>
    <xf numFmtId="0" fontId="10" fillId="13" borderId="0" xfId="0" applyFont="1" applyFill="1"/>
    <xf numFmtId="0" fontId="9" fillId="13" borderId="0" xfId="0" applyFont="1" applyFill="1"/>
  </cellXfs>
  <cellStyles count="15">
    <cellStyle name="Hyperlänk" xfId="14" builtinId="8"/>
    <cellStyle name="Hyperlänk 2" xfId="10" xr:uid="{0C77E630-F5FD-4D26-A322-712380B8D176}"/>
    <cellStyle name="Normal" xfId="0" builtinId="0"/>
    <cellStyle name="Normal 11" xfId="13" xr:uid="{B8D10EDA-3551-4031-B32D-98D0C57B0846}"/>
    <cellStyle name="Normal 13" xfId="7" xr:uid="{69F19EB2-1C02-4109-9C4E-2A7542D64E29}"/>
    <cellStyle name="Normal 2" xfId="2" xr:uid="{BD6B7FED-D123-4509-AA80-E3CF2AD3C4AE}"/>
    <cellStyle name="Normal 2 2" xfId="3" xr:uid="{DECA6C92-0B97-43FF-A710-4F44EED2AF3B}"/>
    <cellStyle name="Normal 2 5" xfId="8" xr:uid="{4850EA50-458B-4499-A213-2D64502FA268}"/>
    <cellStyle name="Normal 3" xfId="5" xr:uid="{D6F376B6-C60C-470F-B21E-FC46F993B541}"/>
    <cellStyle name="Normal 3 2" xfId="6" xr:uid="{2BD5B65F-E644-4456-8D70-8C369F5CD04F}"/>
    <cellStyle name="Normal 5" xfId="9" xr:uid="{3CF0E557-009B-4683-BE68-FB06EC43AD87}"/>
    <cellStyle name="Procent" xfId="1" builtinId="5"/>
    <cellStyle name="Procent 2" xfId="4" xr:uid="{841082F7-8919-4CB4-A0A6-9249BBA4A1D8}"/>
    <cellStyle name="Procent 3" xfId="12" xr:uid="{09105C28-DCB9-43BB-B2D6-3165400809ED}"/>
    <cellStyle name="Procent 6" xfId="11" xr:uid="{BDF010DA-49B1-406F-AF16-39185F5D69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278422</xdr:colOff>
      <xdr:row>20</xdr:row>
      <xdr:rowOff>7327</xdr:rowOff>
    </xdr:from>
    <xdr:to>
      <xdr:col>10</xdr:col>
      <xdr:colOff>53364</xdr:colOff>
      <xdr:row>26</xdr:row>
      <xdr:rowOff>49823</xdr:rowOff>
    </xdr:to>
    <xdr:sp macro="" textlink="">
      <xdr:nvSpPr>
        <xdr:cNvPr id="2" name="Text Box 2">
          <a:extLst>
            <a:ext uri="{FF2B5EF4-FFF2-40B4-BE49-F238E27FC236}">
              <a16:creationId xmlns:a16="http://schemas.microsoft.com/office/drawing/2014/main" id="{59C947A4-A045-4E9B-9E92-529DA88494DD}"/>
            </a:ext>
          </a:extLst>
        </xdr:cNvPr>
        <xdr:cNvSpPr txBox="1">
          <a:spLocks noChangeArrowheads="1"/>
        </xdr:cNvSpPr>
      </xdr:nvSpPr>
      <xdr:spPr bwMode="auto">
        <a:xfrm>
          <a:off x="278422" y="3084635"/>
          <a:ext cx="5189538" cy="1009650"/>
        </a:xfrm>
        <a:prstGeom prst="rect">
          <a:avLst/>
        </a:prstGeom>
        <a:solidFill>
          <a:srgbClr val="FFCC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8100000" algn="ctr" rotWithShape="0">
            <a:srgbClr val="808080"/>
          </a:outerShdw>
        </a:effectLst>
      </xdr:spPr>
      <xdr:txBody>
        <a:bodyPr vertOverflow="clip" wrap="square" lIns="27432" tIns="22860" rIns="0" bIns="22860" anchor="ctr" upright="1"/>
        <a:lstStyle/>
        <a:p>
          <a:pPr algn="l" rtl="0">
            <a:defRPr sz="1000"/>
          </a:pPr>
          <a:r>
            <a:rPr lang="sv-SE" sz="1200" b="0" i="0" u="none" strike="noStrike" baseline="0">
              <a:solidFill>
                <a:srgbClr val="000000"/>
              </a:solidFill>
              <a:latin typeface="Arial"/>
              <a:cs typeface="Arial"/>
            </a:rPr>
            <a:t>Använd dessa för att kontrollera dina egna beräkningar.</a:t>
          </a:r>
        </a:p>
        <a:p>
          <a:pPr algn="l" rtl="0">
            <a:defRPr sz="1000"/>
          </a:pPr>
          <a:r>
            <a:rPr lang="sv-SE" sz="1200" b="0" i="0" u="none" strike="noStrike" baseline="0">
              <a:solidFill>
                <a:srgbClr val="000000"/>
              </a:solidFill>
              <a:latin typeface="Arial"/>
              <a:cs typeface="Arial"/>
            </a:rPr>
            <a:t>Använd gärna Excel för att lösa uppgifterna, men observera att det kan finnas skillnader mellan hur man löser en uppgift i Excel och hur man löser den för hand (svaren skall dock naturligtvis bli lika). </a:t>
          </a:r>
        </a:p>
        <a:p>
          <a:pPr algn="l" rtl="0">
            <a:defRPr sz="1000"/>
          </a:pPr>
          <a:endParaRPr lang="sv-SE" sz="1000" b="0" i="0" u="sng" strike="noStrike" baseline="0">
            <a:solidFill>
              <a:srgbClr val="000000"/>
            </a:solidFill>
            <a:latin typeface="Arial"/>
            <a:cs typeface="Arial"/>
          </a:endParaRPr>
        </a:p>
        <a:p>
          <a:pPr algn="l" rtl="0">
            <a:defRPr sz="1000"/>
          </a:pPr>
          <a:endParaRPr lang="sv-SE" sz="1000" b="0" i="0" u="sng" strike="noStrike" baseline="0">
            <a:solidFill>
              <a:srgbClr val="000000"/>
            </a:solidFill>
            <a:latin typeface="Arial"/>
            <a:cs typeface="Arial"/>
          </a:endParaRPr>
        </a:p>
      </xdr:txBody>
    </xdr:sp>
    <xdr:clientData/>
  </xdr:twoCellAnchor>
  <xdr:twoCellAnchor editAs="oneCell">
    <xdr:from>
      <xdr:col>8</xdr:col>
      <xdr:colOff>183223</xdr:colOff>
      <xdr:row>0</xdr:row>
      <xdr:rowOff>146538</xdr:rowOff>
    </xdr:from>
    <xdr:to>
      <xdr:col>9</xdr:col>
      <xdr:colOff>172915</xdr:colOff>
      <xdr:row>4</xdr:row>
      <xdr:rowOff>252779</xdr:rowOff>
    </xdr:to>
    <xdr:pic>
      <xdr:nvPicPr>
        <xdr:cNvPr id="6" name="Bildobjekt 5">
          <a:extLst>
            <a:ext uri="{FF2B5EF4-FFF2-40B4-BE49-F238E27FC236}">
              <a16:creationId xmlns:a16="http://schemas.microsoft.com/office/drawing/2014/main" id="{4626E447-5E34-CD47-A420-7315A81119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50" y="146538"/>
          <a:ext cx="597827" cy="751010"/>
        </a:xfrm>
        <a:prstGeom prst="rect">
          <a:avLst/>
        </a:prstGeom>
      </xdr:spPr>
    </xdr:pic>
    <xdr:clientData/>
  </xdr:twoCellAnchor>
  <xdr:twoCellAnchor editAs="oneCell">
    <xdr:from>
      <xdr:col>16</xdr:col>
      <xdr:colOff>380999</xdr:colOff>
      <xdr:row>4</xdr:row>
      <xdr:rowOff>190850</xdr:rowOff>
    </xdr:from>
    <xdr:to>
      <xdr:col>17</xdr:col>
      <xdr:colOff>556846</xdr:colOff>
      <xdr:row>6</xdr:row>
      <xdr:rowOff>109905</xdr:rowOff>
    </xdr:to>
    <xdr:pic>
      <xdr:nvPicPr>
        <xdr:cNvPr id="8" name="Bildobjekt 7">
          <a:extLst>
            <a:ext uri="{FF2B5EF4-FFF2-40B4-BE49-F238E27FC236}">
              <a16:creationId xmlns:a16="http://schemas.microsoft.com/office/drawing/2014/main" id="{C792079D-B509-565F-89AB-60E899B85D6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656" t="26655" r="15214" b="31984"/>
        <a:stretch/>
      </xdr:blipFill>
      <xdr:spPr>
        <a:xfrm>
          <a:off x="9444403" y="835619"/>
          <a:ext cx="783981" cy="373324"/>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261936</xdr:colOff>
      <xdr:row>1</xdr:row>
      <xdr:rowOff>0</xdr:rowOff>
    </xdr:from>
    <xdr:to>
      <xdr:col>31</xdr:col>
      <xdr:colOff>246062</xdr:colOff>
      <xdr:row>61</xdr:row>
      <xdr:rowOff>136921</xdr:rowOff>
    </xdr:to>
    <xdr:pic>
      <xdr:nvPicPr>
        <xdr:cNvPr id="2" name="Bildobjekt 1">
          <a:extLst>
            <a:ext uri="{FF2B5EF4-FFF2-40B4-BE49-F238E27FC236}">
              <a16:creationId xmlns:a16="http://schemas.microsoft.com/office/drawing/2014/main" id="{F0467740-C03F-402B-9E59-D79EFEC3E4AE}"/>
            </a:ext>
          </a:extLst>
        </xdr:cNvPr>
        <xdr:cNvPicPr>
          <a:picLocks noChangeAspect="1"/>
        </xdr:cNvPicPr>
      </xdr:nvPicPr>
      <xdr:blipFill>
        <a:blip xmlns:r="http://schemas.openxmlformats.org/officeDocument/2006/relationships" r:embed="rId1"/>
        <a:stretch>
          <a:fillRect/>
        </a:stretch>
      </xdr:blipFill>
      <xdr:spPr>
        <a:xfrm>
          <a:off x="11282361" y="0"/>
          <a:ext cx="11566526" cy="11640740"/>
        </a:xfrm>
        <a:prstGeom prst="rect">
          <a:avLst/>
        </a:prstGeom>
      </xdr:spPr>
    </xdr:pic>
    <xdr:clientData/>
  </xdr:twoCellAnchor>
  <xdr:twoCellAnchor editAs="oneCell">
    <xdr:from>
      <xdr:col>3</xdr:col>
      <xdr:colOff>297655</xdr:colOff>
      <xdr:row>35</xdr:row>
      <xdr:rowOff>67413</xdr:rowOff>
    </xdr:from>
    <xdr:to>
      <xdr:col>12</xdr:col>
      <xdr:colOff>93013</xdr:colOff>
      <xdr:row>48</xdr:row>
      <xdr:rowOff>111647</xdr:rowOff>
    </xdr:to>
    <xdr:pic>
      <xdr:nvPicPr>
        <xdr:cNvPr id="3" name="Bildobjekt 2">
          <a:extLst>
            <a:ext uri="{FF2B5EF4-FFF2-40B4-BE49-F238E27FC236}">
              <a16:creationId xmlns:a16="http://schemas.microsoft.com/office/drawing/2014/main" id="{97CFDB28-B486-48B6-A921-1FCBA18E8073}"/>
            </a:ext>
          </a:extLst>
        </xdr:cNvPr>
        <xdr:cNvPicPr>
          <a:picLocks noChangeAspect="1"/>
        </xdr:cNvPicPr>
      </xdr:nvPicPr>
      <xdr:blipFill>
        <a:blip xmlns:r="http://schemas.openxmlformats.org/officeDocument/2006/relationships" r:embed="rId2"/>
        <a:stretch>
          <a:fillRect/>
        </a:stretch>
      </xdr:blipFill>
      <xdr:spPr>
        <a:xfrm>
          <a:off x="4202905" y="6592038"/>
          <a:ext cx="6891483" cy="2520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74</xdr:row>
      <xdr:rowOff>28576</xdr:rowOff>
    </xdr:from>
    <xdr:to>
      <xdr:col>12</xdr:col>
      <xdr:colOff>171450</xdr:colOff>
      <xdr:row>85</xdr:row>
      <xdr:rowOff>133350</xdr:rowOff>
    </xdr:to>
    <xdr:sp macro="" textlink="">
      <xdr:nvSpPr>
        <xdr:cNvPr id="2" name="textruta 1">
          <a:extLst>
            <a:ext uri="{FF2B5EF4-FFF2-40B4-BE49-F238E27FC236}">
              <a16:creationId xmlns:a16="http://schemas.microsoft.com/office/drawing/2014/main" id="{7DEBBC81-2E19-49A4-8973-E01EFF7E6806}"/>
            </a:ext>
          </a:extLst>
        </xdr:cNvPr>
        <xdr:cNvSpPr txBox="1"/>
      </xdr:nvSpPr>
      <xdr:spPr>
        <a:xfrm>
          <a:off x="180975" y="14392276"/>
          <a:ext cx="8591550" cy="2200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Kommentarer hur denna sammanställning är gjord</a:t>
          </a:r>
        </a:p>
        <a:p>
          <a:r>
            <a:rPr lang="sv-SE" sz="1100">
              <a:solidFill>
                <a:schemeClr val="dk1"/>
              </a:solidFill>
              <a:effectLst/>
              <a:latin typeface="+mn-lt"/>
              <a:ea typeface="+mn-ea"/>
              <a:cs typeface="+mn-cs"/>
            </a:rPr>
            <a:t>Från Retriever Business kan man hämta ”Bokslut för bolag” och då få de tio senaste årens resultat och balansräkning.</a:t>
          </a:r>
        </a:p>
        <a:p>
          <a:r>
            <a:rPr lang="sv-SE" sz="1100">
              <a:solidFill>
                <a:schemeClr val="dk1"/>
              </a:solidFill>
              <a:effectLst/>
              <a:latin typeface="+mn-lt"/>
              <a:ea typeface="+mn-ea"/>
              <a:cs typeface="+mn-cs"/>
            </a:rPr>
            <a:t>För en seriös analys så behöver man dock alltid justera årsredovisningsposterna. T.ex. innehåller dock Retriever väldigt många onödiga poster (med nollvärden), dessutom kan det finnas detaljer som kräver att man läser det faktiska publicerade årsredovisningen (som också finns att hämta som pdf från Retriever business)</a:t>
          </a:r>
        </a:p>
        <a:p>
          <a:r>
            <a:rPr lang="sv-SE" sz="1100">
              <a:solidFill>
                <a:schemeClr val="dk1"/>
              </a:solidFill>
              <a:effectLst/>
              <a:latin typeface="+mn-lt"/>
              <a:ea typeface="+mn-ea"/>
              <a:cs typeface="+mn-cs"/>
            </a:rPr>
            <a:t>Några detaljer som gjort här är att separera mellan Upplupna kostnader och övriga skulder. I Retriever är dessa grupperade ihop som "övriga kortfristiga skulder" - i detta fall så gjorde jag bedömningen att "övriga skulder" var räntebärande (sysselsatt). Exakt vilka justeringar som behöver göras beror på vad syftet är med analysen och vilken detaljrikedom som behövs.</a:t>
          </a:r>
        </a:p>
        <a:p>
          <a:r>
            <a:rPr lang="sv-SE" sz="1100">
              <a:solidFill>
                <a:schemeClr val="dk1"/>
              </a:solidFill>
              <a:effectLst/>
              <a:latin typeface="+mn-lt"/>
              <a:ea typeface="+mn-ea"/>
              <a:cs typeface="+mn-cs"/>
            </a:rPr>
            <a:t>Större bolag redovisar t.ex. ofta i sina årsredovisningar vilka skulder som är räntebärande och vilka som inte är räntebärande – något som inte framgår i den data man får från Retriever.</a:t>
          </a:r>
        </a:p>
      </xdr:txBody>
    </xdr:sp>
    <xdr:clientData/>
  </xdr:twoCellAnchor>
  <xdr:twoCellAnchor>
    <xdr:from>
      <xdr:col>0</xdr:col>
      <xdr:colOff>257175</xdr:colOff>
      <xdr:row>57</xdr:row>
      <xdr:rowOff>76200</xdr:rowOff>
    </xdr:from>
    <xdr:to>
      <xdr:col>11</xdr:col>
      <xdr:colOff>142875</xdr:colOff>
      <xdr:row>72</xdr:row>
      <xdr:rowOff>171449</xdr:rowOff>
    </xdr:to>
    <xdr:sp macro="" textlink="">
      <xdr:nvSpPr>
        <xdr:cNvPr id="3" name="textruta 2">
          <a:extLst>
            <a:ext uri="{FF2B5EF4-FFF2-40B4-BE49-F238E27FC236}">
              <a16:creationId xmlns:a16="http://schemas.microsoft.com/office/drawing/2014/main" id="{158F866B-B838-447D-99E8-30B5449C7306}"/>
            </a:ext>
          </a:extLst>
        </xdr:cNvPr>
        <xdr:cNvSpPr txBox="1"/>
      </xdr:nvSpPr>
      <xdr:spPr>
        <a:xfrm>
          <a:off x="257175" y="11163300"/>
          <a:ext cx="7877175" cy="2990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Några kommentarer om bolagets utveckling som kan behövas för att förstå utvecklingen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2012 övergick företaget från bokslutsperiod juli-juni till januari-december. Det innebär att bokslutsperioden 2012 år 18 månader (från 1 juli 2011 till 31 december 2012) – vilket förklarar den betydligt högre omsättningen det året. Lägg till att ett pepparkaksbageri troligen har sin försäljningstopp i slutet av året (vilket innebär att bokslutet för 2012 inkluderar två års decemberförsäljning).</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År 2014, efter några år av dåliga resultat, så sköt företagets ägare till 280 tkr i ett aktieägartillskott. Utan tillskott av nytt eget kapital skulle det egna kapitalet varit förbrukat (och företaget tvungen att likvideras). Aktieägartillskottet återbetalades sedan under två år med 140 tkr 2017 och resterande 140 tkr 2018. I denna sammanställning kan man se effekterna av aktieägartillskotten i form av en ökning av eget kapital 2014 och efterföljande minskning 2017 och 2018. År 2018 genomfördes även en utdelning till aktieägarna på 150 tkr (den enda som gjorts under 10-årsperioden). Detta kan man följa med formeln: UB EK = IB EK + Årets resultat – Utdelningar + Ägartillskott</a:t>
          </a:r>
        </a:p>
        <a:p>
          <a:endParaRPr lang="sv-SE" sz="1100">
            <a:solidFill>
              <a:schemeClr val="dk1"/>
            </a:solidFill>
            <a:effectLst/>
            <a:latin typeface="+mn-lt"/>
            <a:ea typeface="+mn-ea"/>
            <a:cs typeface="+mn-cs"/>
          </a:endParaRPr>
        </a:p>
        <a:p>
          <a:r>
            <a:rPr lang="sv-SE" sz="1100"/>
            <a:t>Hur kan det komma sig att man betalar skatt på ett negativt resultat (2015)?</a:t>
          </a:r>
        </a:p>
      </xdr:txBody>
    </xdr:sp>
    <xdr:clientData/>
  </xdr:twoCellAnchor>
  <xdr:twoCellAnchor editAs="oneCell">
    <xdr:from>
      <xdr:col>23</xdr:col>
      <xdr:colOff>552450</xdr:colOff>
      <xdr:row>40</xdr:row>
      <xdr:rowOff>171450</xdr:rowOff>
    </xdr:from>
    <xdr:to>
      <xdr:col>31</xdr:col>
      <xdr:colOff>84983</xdr:colOff>
      <xdr:row>46</xdr:row>
      <xdr:rowOff>104636</xdr:rowOff>
    </xdr:to>
    <xdr:pic>
      <xdr:nvPicPr>
        <xdr:cNvPr id="4" name="Bildobjekt 3">
          <a:extLst>
            <a:ext uri="{FF2B5EF4-FFF2-40B4-BE49-F238E27FC236}">
              <a16:creationId xmlns:a16="http://schemas.microsoft.com/office/drawing/2014/main" id="{5CBA33B4-2C4B-4D2F-9401-49FADE144776}"/>
            </a:ext>
          </a:extLst>
        </xdr:cNvPr>
        <xdr:cNvPicPr>
          <a:picLocks noChangeAspect="1"/>
        </xdr:cNvPicPr>
      </xdr:nvPicPr>
      <xdr:blipFill>
        <a:blip xmlns:r="http://schemas.openxmlformats.org/officeDocument/2006/relationships" r:embed="rId1"/>
        <a:stretch>
          <a:fillRect/>
        </a:stretch>
      </xdr:blipFill>
      <xdr:spPr>
        <a:xfrm>
          <a:off x="17802225" y="7943850"/>
          <a:ext cx="5933333" cy="1114286"/>
        </a:xfrm>
        <a:prstGeom prst="rect">
          <a:avLst/>
        </a:prstGeom>
      </xdr:spPr>
    </xdr:pic>
    <xdr:clientData/>
  </xdr:twoCellAnchor>
  <xdr:twoCellAnchor editAs="oneCell">
    <xdr:from>
      <xdr:col>12</xdr:col>
      <xdr:colOff>1304925</xdr:colOff>
      <xdr:row>75</xdr:row>
      <xdr:rowOff>123825</xdr:rowOff>
    </xdr:from>
    <xdr:to>
      <xdr:col>20</xdr:col>
      <xdr:colOff>370733</xdr:colOff>
      <xdr:row>81</xdr:row>
      <xdr:rowOff>95111</xdr:rowOff>
    </xdr:to>
    <xdr:pic>
      <xdr:nvPicPr>
        <xdr:cNvPr id="5" name="Bildobjekt 4">
          <a:extLst>
            <a:ext uri="{FF2B5EF4-FFF2-40B4-BE49-F238E27FC236}">
              <a16:creationId xmlns:a16="http://schemas.microsoft.com/office/drawing/2014/main" id="{4A94A74C-7FA5-4AC9-B6BC-A1A070EE6F8A}"/>
            </a:ext>
          </a:extLst>
        </xdr:cNvPr>
        <xdr:cNvPicPr>
          <a:picLocks noChangeAspect="1"/>
        </xdr:cNvPicPr>
      </xdr:nvPicPr>
      <xdr:blipFill>
        <a:blip xmlns:r="http://schemas.openxmlformats.org/officeDocument/2006/relationships" r:embed="rId1"/>
        <a:stretch>
          <a:fillRect/>
        </a:stretch>
      </xdr:blipFill>
      <xdr:spPr>
        <a:xfrm>
          <a:off x="9906000" y="14868525"/>
          <a:ext cx="5933333" cy="1114286"/>
        </a:xfrm>
        <a:prstGeom prst="rect">
          <a:avLst/>
        </a:prstGeom>
      </xdr:spPr>
    </xdr:pic>
    <xdr:clientData/>
  </xdr:twoCellAnchor>
  <xdr:twoCellAnchor editAs="oneCell">
    <xdr:from>
      <xdr:col>14</xdr:col>
      <xdr:colOff>180975</xdr:colOff>
      <xdr:row>71</xdr:row>
      <xdr:rowOff>28575</xdr:rowOff>
    </xdr:from>
    <xdr:to>
      <xdr:col>24</xdr:col>
      <xdr:colOff>265927</xdr:colOff>
      <xdr:row>81</xdr:row>
      <xdr:rowOff>37861</xdr:rowOff>
    </xdr:to>
    <xdr:pic>
      <xdr:nvPicPr>
        <xdr:cNvPr id="6" name="Bildobjekt 5">
          <a:extLst>
            <a:ext uri="{FF2B5EF4-FFF2-40B4-BE49-F238E27FC236}">
              <a16:creationId xmlns:a16="http://schemas.microsoft.com/office/drawing/2014/main" id="{2F535366-2499-47A5-A86E-FC90ECF76E55}"/>
            </a:ext>
          </a:extLst>
        </xdr:cNvPr>
        <xdr:cNvPicPr>
          <a:picLocks noChangeAspect="1"/>
        </xdr:cNvPicPr>
      </xdr:nvPicPr>
      <xdr:blipFill>
        <a:blip xmlns:r="http://schemas.openxmlformats.org/officeDocument/2006/relationships" r:embed="rId2"/>
        <a:stretch>
          <a:fillRect/>
        </a:stretch>
      </xdr:blipFill>
      <xdr:spPr>
        <a:xfrm>
          <a:off x="11944350" y="14011275"/>
          <a:ext cx="6180952" cy="19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29882</xdr:colOff>
      <xdr:row>62</xdr:row>
      <xdr:rowOff>141943</xdr:rowOff>
    </xdr:from>
    <xdr:to>
      <xdr:col>15</xdr:col>
      <xdr:colOff>997324</xdr:colOff>
      <xdr:row>82</xdr:row>
      <xdr:rowOff>127002</xdr:rowOff>
    </xdr:to>
    <xdr:sp macro="" textlink="">
      <xdr:nvSpPr>
        <xdr:cNvPr id="2" name="textruta 1">
          <a:extLst>
            <a:ext uri="{FF2B5EF4-FFF2-40B4-BE49-F238E27FC236}">
              <a16:creationId xmlns:a16="http://schemas.microsoft.com/office/drawing/2014/main" id="{4788A97A-30CF-46C2-9304-7EC42246734E}"/>
            </a:ext>
          </a:extLst>
        </xdr:cNvPr>
        <xdr:cNvSpPr txBox="1"/>
      </xdr:nvSpPr>
      <xdr:spPr>
        <a:xfrm>
          <a:off x="6439647" y="10085296"/>
          <a:ext cx="5599206" cy="312270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Fråga</a:t>
          </a:r>
          <a:r>
            <a:rPr lang="sv-SE" sz="1100"/>
            <a:t>: </a:t>
          </a:r>
        </a:p>
        <a:p>
          <a:r>
            <a:rPr lang="sv-SE" sz="1100"/>
            <a:t>Vad beror det på att man </a:t>
          </a:r>
          <a:r>
            <a:rPr lang="sv-SE" sz="1100" baseline="0"/>
            <a:t>inte tar med räntekostnaderna? </a:t>
          </a:r>
          <a:r>
            <a:rPr lang="sv-SE" sz="1100">
              <a:solidFill>
                <a:schemeClr val="dk1"/>
              </a:solidFill>
              <a:effectLst/>
              <a:latin typeface="+mn-lt"/>
              <a:ea typeface="+mn-ea"/>
              <a:cs typeface="+mn-cs"/>
            </a:rPr>
            <a:t>Kostnaden står inte i företagets resultat, men det står även att räntekostnaden är 5% för långfristiga lån. Varför skall inte räntekostnaden tilläggas här?</a:t>
          </a:r>
        </a:p>
        <a:p>
          <a:r>
            <a:rPr lang="sv-SE" sz="1100" b="1">
              <a:solidFill>
                <a:schemeClr val="dk1"/>
              </a:solidFill>
              <a:effectLst/>
              <a:latin typeface="+mn-lt"/>
              <a:ea typeface="+mn-ea"/>
              <a:cs typeface="+mn-cs"/>
            </a:rPr>
            <a:t>Svar</a:t>
          </a:r>
          <a:r>
            <a:rPr lang="sv-SE" sz="1100">
              <a:solidFill>
                <a:schemeClr val="dk1"/>
              </a:solidFill>
              <a:effectLst/>
              <a:latin typeface="+mn-lt"/>
              <a:ea typeface="+mn-ea"/>
              <a:cs typeface="+mn-cs"/>
            </a:rPr>
            <a:t>:</a:t>
          </a:r>
        </a:p>
        <a:p>
          <a:r>
            <a:rPr lang="sv-SE" sz="1100">
              <a:solidFill>
                <a:schemeClr val="dk1"/>
              </a:solidFill>
              <a:effectLst/>
              <a:latin typeface="+mn-lt"/>
              <a:ea typeface="+mn-ea"/>
              <a:cs typeface="+mn-cs"/>
            </a:rPr>
            <a:t>Det korta svaret är att Företagsvärdet (enterprise value) beräknas som om företaget var finansierat med 100% EK och därför beaktas inte räntekostnaden, dvs vi bortser från alla finansiella aktiviteter. Värdet på lånen (antas vara korrekt värderade, dvs npv = 0) dras sedan bort från det totala värdet för att vi skall kunna erhålla värdet på EK. </a:t>
          </a:r>
        </a:p>
        <a:p>
          <a:r>
            <a:rPr lang="sv-SE" sz="1100">
              <a:solidFill>
                <a:schemeClr val="dk1"/>
              </a:solidFill>
              <a:effectLst/>
              <a:latin typeface="+mn-lt"/>
              <a:ea typeface="+mn-ea"/>
              <a:cs typeface="+mn-cs"/>
            </a:rPr>
            <a:t>Eller: Man kan säga att den prognostiserade resultaträkningen bara innehåller det som behövs för att nå FKF + att räntekostnaderna beaktas i WACC…</a:t>
          </a:r>
        </a:p>
        <a:p>
          <a:r>
            <a:rPr lang="sv-SE" sz="1100">
              <a:solidFill>
                <a:schemeClr val="dk1"/>
              </a:solidFill>
              <a:effectLst/>
              <a:latin typeface="+mn-lt"/>
              <a:ea typeface="+mn-ea"/>
              <a:cs typeface="+mn-cs"/>
            </a:rPr>
            <a:t>Skulle vi däremot försöka ta fram U så skulle vår prognos även behöva innehålla finansiella aktiviteter (dvs räntekostnader).</a:t>
          </a:r>
        </a:p>
      </xdr:txBody>
    </xdr:sp>
    <xdr:clientData/>
  </xdr:twoCellAnchor>
  <xdr:twoCellAnchor>
    <xdr:from>
      <xdr:col>0</xdr:col>
      <xdr:colOff>336176</xdr:colOff>
      <xdr:row>48</xdr:row>
      <xdr:rowOff>22411</xdr:rowOff>
    </xdr:from>
    <xdr:to>
      <xdr:col>2</xdr:col>
      <xdr:colOff>22411</xdr:colOff>
      <xdr:row>76</xdr:row>
      <xdr:rowOff>134471</xdr:rowOff>
    </xdr:to>
    <xdr:sp macro="" textlink="">
      <xdr:nvSpPr>
        <xdr:cNvPr id="3" name="textruta 2">
          <a:extLst>
            <a:ext uri="{FF2B5EF4-FFF2-40B4-BE49-F238E27FC236}">
              <a16:creationId xmlns:a16="http://schemas.microsoft.com/office/drawing/2014/main" id="{6B57AC4C-DC99-42E3-847E-D8D1CE239B31}"/>
            </a:ext>
          </a:extLst>
        </xdr:cNvPr>
        <xdr:cNvSpPr txBox="1"/>
      </xdr:nvSpPr>
      <xdr:spPr>
        <a:xfrm>
          <a:off x="336176" y="7586382"/>
          <a:ext cx="3731559" cy="45047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1100" b="1">
              <a:solidFill>
                <a:schemeClr val="dk1"/>
              </a:solidFill>
              <a:latin typeface="+mn-lt"/>
              <a:ea typeface="+mn-ea"/>
              <a:cs typeface="+mn-cs"/>
            </a:rPr>
            <a:t>Fråga: </a:t>
          </a:r>
          <a:r>
            <a:rPr lang="sv-SE" sz="1100" b="0">
              <a:solidFill>
                <a:schemeClr val="dk1"/>
              </a:solidFill>
              <a:latin typeface="+mn-lt"/>
              <a:ea typeface="+mn-ea"/>
              <a:cs typeface="+mn-cs"/>
            </a:rPr>
            <a:t>I facit till fråga 10.1 på s.465 i boken används två alternativ på lösningar men jag hänger inte med i det som står, eftersom det är samma "förklaring" till de olika lösningssätten. I både steg 2 och alternativ steg 2 står det "Beräkna nuvärde av kassaflödet under den faktiska prognoshorisonten U 1-6", och det står samma sak på steg 3 och alternativt steg 3 även fast uträkningarna skiljer sig åt.</a:t>
          </a:r>
        </a:p>
        <a:p>
          <a:pPr marL="0" indent="0"/>
          <a:r>
            <a:rPr lang="sv-SE" sz="1100" b="1">
              <a:solidFill>
                <a:schemeClr val="dk1"/>
              </a:solidFill>
              <a:latin typeface="+mn-lt"/>
              <a:ea typeface="+mn-ea"/>
              <a:cs typeface="+mn-cs"/>
            </a:rPr>
            <a:t> </a:t>
          </a:r>
        </a:p>
        <a:p>
          <a:pPr marL="0" indent="0"/>
          <a:r>
            <a:rPr lang="sv-SE" sz="1100" b="1">
              <a:solidFill>
                <a:schemeClr val="dk1"/>
              </a:solidFill>
              <a:latin typeface="+mn-lt"/>
              <a:ea typeface="+mn-ea"/>
              <a:cs typeface="+mn-cs"/>
            </a:rPr>
            <a:t>Svar: </a:t>
          </a:r>
          <a:r>
            <a:rPr lang="sv-SE" sz="1100" b="0">
              <a:solidFill>
                <a:schemeClr val="dk1"/>
              </a:solidFill>
              <a:latin typeface="+mn-lt"/>
              <a:ea typeface="+mn-ea"/>
              <a:cs typeface="+mn-cs"/>
            </a:rPr>
            <a:t>Skillnaden mellan de två alternativen är om år 6 ingå</a:t>
          </a:r>
          <a:r>
            <a:rPr lang="sv-SE" sz="1100" b="1">
              <a:solidFill>
                <a:schemeClr val="dk1"/>
              </a:solidFill>
              <a:latin typeface="+mn-lt"/>
              <a:ea typeface="+mn-ea"/>
              <a:cs typeface="+mn-cs"/>
            </a:rPr>
            <a:t>r</a:t>
          </a:r>
          <a:r>
            <a:rPr lang="sv-SE" sz="1100" b="0">
              <a:solidFill>
                <a:schemeClr val="dk1"/>
              </a:solidFill>
              <a:latin typeface="+mn-lt"/>
              <a:ea typeface="+mn-ea"/>
              <a:cs typeface="+mn-cs"/>
            </a:rPr>
            <a:t> i prognosperioden (alternativ 1) eller inkluderas i horisontvärdet (alternativ 2). Det spelar ingen roll då tillväxten för år sex är det samma som tillväxten efter prognosperioden. Alternativ 2 visar på ett ”förenklat” sätt att komma fram till samma sak.</a:t>
          </a:r>
        </a:p>
        <a:p>
          <a:pPr marL="0" indent="0"/>
          <a:endParaRPr lang="sv-SE" sz="1100" b="1">
            <a:solidFill>
              <a:schemeClr val="dk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942975</xdr:colOff>
      <xdr:row>25</xdr:row>
      <xdr:rowOff>161924</xdr:rowOff>
    </xdr:from>
    <xdr:to>
      <xdr:col>19</xdr:col>
      <xdr:colOff>1428750</xdr:colOff>
      <xdr:row>68</xdr:row>
      <xdr:rowOff>57149</xdr:rowOff>
    </xdr:to>
    <xdr:sp macro="" textlink="">
      <xdr:nvSpPr>
        <xdr:cNvPr id="2" name="textruta 1">
          <a:extLst>
            <a:ext uri="{FF2B5EF4-FFF2-40B4-BE49-F238E27FC236}">
              <a16:creationId xmlns:a16="http://schemas.microsoft.com/office/drawing/2014/main" id="{E8744F9F-1864-8974-FB89-13FCC79021A5}"/>
            </a:ext>
          </a:extLst>
        </xdr:cNvPr>
        <xdr:cNvSpPr txBox="1"/>
      </xdr:nvSpPr>
      <xdr:spPr>
        <a:xfrm>
          <a:off x="14735175" y="5114924"/>
          <a:ext cx="5838825" cy="808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Fråga:</a:t>
          </a:r>
        </a:p>
        <a:p>
          <a:r>
            <a:rPr lang="sv-SE" sz="1100">
              <a:solidFill>
                <a:schemeClr val="dk1"/>
              </a:solidFill>
              <a:effectLst/>
              <a:latin typeface="+mn-lt"/>
              <a:ea typeface="+mn-ea"/>
              <a:cs typeface="+mn-cs"/>
            </a:rPr>
            <a:t>Hej vi satt och gjorde upg 11.2 i boken och förstår inte riktigt varför hela summan av de obeskattade reserverna bara försvinner. Vi förstår att vi tar de obeskattade reserverna mult med skattesatsen som genererar en skatteskuld med därefter bara subtraheras alla obeskattade reserver och det är de vi inte förstår.</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Svar:</a:t>
          </a:r>
        </a:p>
        <a:p>
          <a:r>
            <a:rPr lang="sv-SE" sz="1100">
              <a:solidFill>
                <a:schemeClr val="dk1"/>
              </a:solidFill>
              <a:effectLst/>
              <a:latin typeface="+mn-lt"/>
              <a:ea typeface="+mn-ea"/>
              <a:cs typeface="+mn-cs"/>
            </a:rPr>
            <a:t>De obeskattade reserverna är ju en mix av eget kapital och latent skatteskuld. Så när vi skall räkna ut värdet på det egna kapitalet så måste man fördela de obeskattade reserverna.</a:t>
          </a:r>
        </a:p>
        <a:p>
          <a:r>
            <a:rPr lang="sv-SE" sz="1100">
              <a:solidFill>
                <a:schemeClr val="dk1"/>
              </a:solidFill>
              <a:effectLst/>
              <a:latin typeface="+mn-lt"/>
              <a:ea typeface="+mn-ea"/>
              <a:cs typeface="+mn-cs"/>
            </a:rPr>
            <a:t>Dvs man nollar posten ”obeskattade reserver” samtidigt ökar skulderna med 0,206*274 986 (latent skatteskuld) och resten förs till eget kapital.</a:t>
          </a:r>
        </a:p>
        <a:p>
          <a:r>
            <a:rPr lang="sv-SE" sz="1100">
              <a:solidFill>
                <a:schemeClr val="dk1"/>
              </a:solidFill>
              <a:effectLst/>
              <a:latin typeface="+mn-lt"/>
              <a:ea typeface="+mn-ea"/>
              <a:cs typeface="+mn-cs"/>
            </a:rPr>
            <a:t>I Excellösningen så räknas sedan värdet på eget kapital (dvs substansvärdet) fram genom att ta marknadsvärdet på alla tillgångar minus marknadsvärdet på alla skulder.</a:t>
          </a:r>
        </a:p>
        <a:p>
          <a:r>
            <a:rPr lang="sv-SE" sz="1100">
              <a:solidFill>
                <a:schemeClr val="dk1"/>
              </a:solidFill>
              <a:effectLst/>
              <a:latin typeface="+mn-lt"/>
              <a:ea typeface="+mn-ea"/>
              <a:cs typeface="+mn-cs"/>
            </a:rPr>
            <a:t>T-S=EK</a:t>
          </a:r>
        </a:p>
        <a:p>
          <a:r>
            <a:rPr lang="sv-SE" sz="1100">
              <a:solidFill>
                <a:schemeClr val="dk1"/>
              </a:solidFill>
              <a:effectLst/>
              <a:latin typeface="+mn-lt"/>
              <a:ea typeface="+mn-ea"/>
              <a:cs typeface="+mn-cs"/>
            </a:rPr>
            <a:t>[värdet på alla tillgångar] minus [värdet på alla skulder, inklusive den latenta skatten] = Värdet på eget kapital [dvs substansvärdet)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Ett exempel:</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Tänk dig följande:</a:t>
          </a:r>
        </a:p>
        <a:p>
          <a:r>
            <a:rPr lang="sv-SE" sz="1100">
              <a:solidFill>
                <a:schemeClr val="dk1"/>
              </a:solidFill>
              <a:effectLst/>
              <a:latin typeface="+mn-lt"/>
              <a:ea typeface="+mn-ea"/>
              <a:cs typeface="+mn-cs"/>
            </a:rPr>
            <a:t>Totala tillgångar</a:t>
          </a:r>
        </a:p>
        <a:p>
          <a:r>
            <a:rPr lang="sv-SE" sz="1100">
              <a:solidFill>
                <a:schemeClr val="dk1"/>
              </a:solidFill>
              <a:effectLst/>
              <a:latin typeface="+mn-lt"/>
              <a:ea typeface="+mn-ea"/>
              <a:cs typeface="+mn-cs"/>
            </a:rPr>
            <a:t>1000</a:t>
          </a:r>
        </a:p>
        <a:p>
          <a:r>
            <a:rPr lang="sv-SE" sz="1100">
              <a:solidFill>
                <a:schemeClr val="dk1"/>
              </a:solidFill>
              <a:effectLst/>
              <a:latin typeface="+mn-lt"/>
              <a:ea typeface="+mn-ea"/>
              <a:cs typeface="+mn-cs"/>
            </a:rPr>
            <a:t>Eget kapital</a:t>
          </a:r>
        </a:p>
        <a:p>
          <a:r>
            <a:rPr lang="sv-SE" sz="1100">
              <a:solidFill>
                <a:schemeClr val="dk1"/>
              </a:solidFill>
              <a:effectLst/>
              <a:latin typeface="+mn-lt"/>
              <a:ea typeface="+mn-ea"/>
              <a:cs typeface="+mn-cs"/>
            </a:rPr>
            <a:t>700</a:t>
          </a:r>
        </a:p>
        <a:p>
          <a:r>
            <a:rPr lang="sv-SE" sz="1100">
              <a:solidFill>
                <a:schemeClr val="dk1"/>
              </a:solidFill>
              <a:effectLst/>
              <a:latin typeface="+mn-lt"/>
              <a:ea typeface="+mn-ea"/>
              <a:cs typeface="+mn-cs"/>
            </a:rPr>
            <a:t>Obeskattade reserver</a:t>
          </a:r>
        </a:p>
        <a:p>
          <a:r>
            <a:rPr lang="sv-SE" sz="1100">
              <a:solidFill>
                <a:schemeClr val="dk1"/>
              </a:solidFill>
              <a:effectLst/>
              <a:latin typeface="+mn-lt"/>
              <a:ea typeface="+mn-ea"/>
              <a:cs typeface="+mn-cs"/>
            </a:rPr>
            <a:t>300</a:t>
          </a:r>
        </a:p>
        <a:p>
          <a:r>
            <a:rPr lang="sv-SE" sz="1100">
              <a:solidFill>
                <a:schemeClr val="dk1"/>
              </a:solidFill>
              <a:effectLst/>
              <a:latin typeface="+mn-lt"/>
              <a:ea typeface="+mn-ea"/>
              <a:cs typeface="+mn-cs"/>
            </a:rPr>
            <a:t>Summa EK + Skulder</a:t>
          </a:r>
        </a:p>
        <a:p>
          <a:r>
            <a:rPr lang="sv-SE" sz="1100">
              <a:solidFill>
                <a:schemeClr val="dk1"/>
              </a:solidFill>
              <a:effectLst/>
              <a:latin typeface="+mn-lt"/>
              <a:ea typeface="+mn-ea"/>
              <a:cs typeface="+mn-cs"/>
            </a:rPr>
            <a:t>1000</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Alternativ 1</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Eget kapital inklusive OR</a:t>
          </a:r>
        </a:p>
        <a:p>
          <a:r>
            <a:rPr lang="sv-SE" sz="1100">
              <a:solidFill>
                <a:schemeClr val="dk1"/>
              </a:solidFill>
              <a:effectLst/>
              <a:latin typeface="+mn-lt"/>
              <a:ea typeface="+mn-ea"/>
              <a:cs typeface="+mn-cs"/>
            </a:rPr>
            <a:t>938,2</a:t>
          </a:r>
        </a:p>
        <a:p>
          <a:r>
            <a:rPr lang="sv-SE" sz="1100">
              <a:solidFill>
                <a:schemeClr val="dk1"/>
              </a:solidFill>
              <a:effectLst/>
              <a:latin typeface="+mn-lt"/>
              <a:ea typeface="+mn-ea"/>
              <a:cs typeface="+mn-cs"/>
            </a:rPr>
            <a:t>(dvs EK * (1-0,206)</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Alternativ 2</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Totala tillgångar</a:t>
          </a:r>
        </a:p>
        <a:p>
          <a:r>
            <a:rPr lang="sv-SE" sz="1100">
              <a:solidFill>
                <a:schemeClr val="dk1"/>
              </a:solidFill>
              <a:effectLst/>
              <a:latin typeface="+mn-lt"/>
              <a:ea typeface="+mn-ea"/>
              <a:cs typeface="+mn-cs"/>
            </a:rPr>
            <a:t>1000</a:t>
          </a:r>
        </a:p>
        <a:p>
          <a:r>
            <a:rPr lang="sv-SE" sz="1100">
              <a:solidFill>
                <a:schemeClr val="dk1"/>
              </a:solidFill>
              <a:effectLst/>
              <a:latin typeface="+mn-lt"/>
              <a:ea typeface="+mn-ea"/>
              <a:cs typeface="+mn-cs"/>
            </a:rPr>
            <a:t>Latent skatteskuld</a:t>
          </a:r>
        </a:p>
        <a:p>
          <a:r>
            <a:rPr lang="sv-SE" sz="1100">
              <a:solidFill>
                <a:schemeClr val="dk1"/>
              </a:solidFill>
              <a:effectLst/>
              <a:latin typeface="+mn-lt"/>
              <a:ea typeface="+mn-ea"/>
              <a:cs typeface="+mn-cs"/>
            </a:rPr>
            <a:t>61,8</a:t>
          </a:r>
        </a:p>
        <a:p>
          <a:r>
            <a:rPr lang="sv-SE" sz="1100">
              <a:solidFill>
                <a:schemeClr val="dk1"/>
              </a:solidFill>
              <a:effectLst/>
              <a:latin typeface="+mn-lt"/>
              <a:ea typeface="+mn-ea"/>
              <a:cs typeface="+mn-cs"/>
            </a:rPr>
            <a:t>Tillgångar minus skulder</a:t>
          </a:r>
        </a:p>
        <a:p>
          <a:r>
            <a:rPr lang="sv-SE" sz="1100">
              <a:solidFill>
                <a:schemeClr val="dk1"/>
              </a:solidFill>
              <a:effectLst/>
              <a:latin typeface="+mn-lt"/>
              <a:ea typeface="+mn-ea"/>
              <a:cs typeface="+mn-cs"/>
            </a:rPr>
            <a:t>938,2</a:t>
          </a:r>
        </a:p>
        <a:p>
          <a:r>
            <a:rPr lang="sv-SE" sz="1100">
              <a:solidFill>
                <a:schemeClr val="dk1"/>
              </a:solidFill>
              <a:effectLst/>
              <a:latin typeface="+mn-lt"/>
              <a:ea typeface="+mn-ea"/>
              <a:cs typeface="+mn-cs"/>
            </a:rPr>
            <a:t>Dvs eget kapital (substansvärde)</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Att vi i lösningen väljer alternativ 2 är för att det finns många andra poster som också påverkar eget kapital och i stället för att räkna ut varje dels påverkan på eget kapital tar vi allt i ett och räknar ut EK med T minus S.</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Mvh</a:t>
          </a:r>
        </a:p>
        <a:p>
          <a:r>
            <a:rPr lang="sv-SE" sz="1100">
              <a:solidFill>
                <a:schemeClr val="dk1"/>
              </a:solidFill>
              <a:effectLst/>
              <a:latin typeface="+mn-lt"/>
              <a:ea typeface="+mn-ea"/>
              <a:cs typeface="+mn-cs"/>
            </a:rPr>
            <a:t>Anders</a:t>
          </a:r>
        </a:p>
        <a:p>
          <a:endParaRPr lang="sv-SE" sz="1100">
            <a:solidFill>
              <a:schemeClr val="dk1"/>
            </a:solidFill>
            <a:effectLst/>
            <a:latin typeface="+mn-lt"/>
            <a:ea typeface="+mn-ea"/>
            <a:cs typeface="+mn-cs"/>
          </a:endParaRPr>
        </a:p>
        <a:p>
          <a:endParaRPr lang="sv-S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8</xdr:col>
      <xdr:colOff>266700</xdr:colOff>
      <xdr:row>9</xdr:row>
      <xdr:rowOff>114300</xdr:rowOff>
    </xdr:to>
    <xdr:sp macro="" textlink="">
      <xdr:nvSpPr>
        <xdr:cNvPr id="5121" name="Text 1">
          <a:extLst>
            <a:ext uri="{FF2B5EF4-FFF2-40B4-BE49-F238E27FC236}">
              <a16:creationId xmlns:a16="http://schemas.microsoft.com/office/drawing/2014/main" id="{00000000-0008-0000-0000-000001140000}"/>
            </a:ext>
          </a:extLst>
        </xdr:cNvPr>
        <xdr:cNvSpPr txBox="1">
          <a:spLocks noChangeArrowheads="1"/>
        </xdr:cNvSpPr>
      </xdr:nvSpPr>
      <xdr:spPr bwMode="auto">
        <a:xfrm>
          <a:off x="104775" y="85725"/>
          <a:ext cx="5162550" cy="1657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sv-SE" sz="1000" b="0" i="0" u="none" strike="noStrike" baseline="0">
              <a:solidFill>
                <a:srgbClr val="000000"/>
              </a:solidFill>
              <a:latin typeface="Arial"/>
              <a:cs typeface="Arial"/>
            </a:rPr>
            <a:t>Lösningar till övningsuppgifter till</a:t>
          </a:r>
        </a:p>
        <a:p>
          <a:pPr algn="ctr" rtl="0">
            <a:defRPr sz="1000"/>
          </a:pPr>
          <a:r>
            <a:rPr lang="sv-SE" sz="2600" b="0" i="0" u="none" strike="noStrike" baseline="0">
              <a:solidFill>
                <a:srgbClr val="000000"/>
              </a:solidFill>
              <a:latin typeface="Arial"/>
              <a:cs typeface="Arial"/>
            </a:rPr>
            <a:t>Företagsvärdering</a:t>
          </a:r>
        </a:p>
        <a:p>
          <a:pPr algn="ctr" rtl="0">
            <a:defRPr sz="1000"/>
          </a:pPr>
          <a:r>
            <a:rPr lang="sv-SE" sz="1800" b="0" i="0" u="none" strike="noStrike" baseline="0">
              <a:solidFill>
                <a:srgbClr val="000000"/>
              </a:solidFill>
              <a:latin typeface="Arial"/>
              <a:cs typeface="Arial"/>
            </a:rPr>
            <a:t>med  fundamental analys</a:t>
          </a:r>
          <a:endParaRPr lang="sv-SE" sz="26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a:p>
          <a:pPr algn="ctr" rtl="0">
            <a:defRPr sz="1000"/>
          </a:pPr>
          <a:r>
            <a:rPr lang="sv-SE" sz="1000" b="0" i="0" u="none" strike="noStrike" baseline="0">
              <a:solidFill>
                <a:srgbClr val="000000"/>
              </a:solidFill>
              <a:latin typeface="Arial"/>
              <a:cs typeface="Arial"/>
            </a:rPr>
            <a:t>© Hjelström, Isaksson &amp; Nilsson, 2022.</a:t>
          </a:r>
        </a:p>
      </xdr:txBody>
    </xdr:sp>
    <xdr:clientData/>
  </xdr:twoCellAnchor>
  <xdr:twoCellAnchor>
    <xdr:from>
      <xdr:col>0</xdr:col>
      <xdr:colOff>76200</xdr:colOff>
      <xdr:row>12</xdr:row>
      <xdr:rowOff>85725</xdr:rowOff>
    </xdr:from>
    <xdr:to>
      <xdr:col>8</xdr:col>
      <xdr:colOff>257175</xdr:colOff>
      <xdr:row>18</xdr:row>
      <xdr:rowOff>47625</xdr:rowOff>
    </xdr:to>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76200" y="2200275"/>
          <a:ext cx="5181600" cy="933450"/>
        </a:xfrm>
        <a:prstGeom prst="rect">
          <a:avLst/>
        </a:prstGeom>
        <a:solidFill>
          <a:srgbClr val="FFCC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8100000" algn="ctr" rotWithShape="0">
            <a:srgbClr val="808080"/>
          </a:outerShdw>
        </a:effectLst>
      </xdr:spPr>
      <xdr:txBody>
        <a:bodyPr vertOverflow="clip" wrap="square" lIns="27432" tIns="22860" rIns="0" bIns="22860" anchor="ctr" upright="1"/>
        <a:lstStyle/>
        <a:p>
          <a:pPr algn="l" rtl="0">
            <a:defRPr sz="1000"/>
          </a:pPr>
          <a:r>
            <a:rPr lang="sv-SE" sz="1200" b="0" i="0" u="none" strike="noStrike" baseline="0">
              <a:solidFill>
                <a:srgbClr val="000000"/>
              </a:solidFill>
              <a:latin typeface="Arial"/>
              <a:cs typeface="Arial"/>
            </a:rPr>
            <a:t>Använd dessa för att kontrollera dina egna beräkningar.</a:t>
          </a:r>
        </a:p>
        <a:p>
          <a:pPr algn="l" rtl="0">
            <a:defRPr sz="1000"/>
          </a:pPr>
          <a:r>
            <a:rPr lang="sv-SE" sz="1200" b="0" i="0" u="none" strike="noStrike" baseline="0">
              <a:solidFill>
                <a:srgbClr val="000000"/>
              </a:solidFill>
              <a:latin typeface="Arial"/>
              <a:cs typeface="Arial"/>
            </a:rPr>
            <a:t>Använd gärna Excel för att lösa uppgifterna, men observera att det kan finnas skillnader mellan hur man löser en uppgift i Excel och hur man löser den för hand (svaren skall dock naturligtvis bli lika). </a:t>
          </a:r>
        </a:p>
        <a:p>
          <a:pPr algn="l" rtl="0">
            <a:defRPr sz="1000"/>
          </a:pPr>
          <a:endParaRPr lang="sv-SE" sz="1000" b="0" i="0" u="sng" strike="noStrike" baseline="0">
            <a:solidFill>
              <a:srgbClr val="000000"/>
            </a:solidFill>
            <a:latin typeface="Arial"/>
            <a:cs typeface="Arial"/>
          </a:endParaRPr>
        </a:p>
        <a:p>
          <a:pPr algn="l" rtl="0">
            <a:defRPr sz="1000"/>
          </a:pPr>
          <a:endParaRPr lang="sv-SE" sz="1000" b="0" i="0" u="sng"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nders.Isaksson\My%20Documents\Excel\Excel%20f&#246;r%20ekonomichefer\Till%20Deltagarna%20Excel%202007\Dag%202\Merexemp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nders.Isaksson\My%20Documents\Excel%20f&#246;r%20ekonomichefer\F&#246;r%20nya%20exempel\Funktioner\Leta%20upp%20och%20refere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xalista"/>
      <sheetName val="Förskjutning1"/>
      <sheetName val="Digram"/>
      <sheetName val="Blad3"/>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ÖRSKJUTNING1"/>
      <sheetName val="Blad2"/>
      <sheetName val="Blad3"/>
    </sheetNames>
    <sheetDataSet>
      <sheetData sheetId="0" refreshError="1"/>
      <sheetData sheetId="1">
        <row r="1">
          <cell r="A1" t="str">
            <v>Säljare</v>
          </cell>
          <cell r="B1" t="str">
            <v>Region</v>
          </cell>
          <cell r="C1" t="str">
            <v>Försäljning</v>
          </cell>
        </row>
      </sheetData>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Anders Isaksson" id="{0447F27A-348E-4F23-A5D1-6BBEFED3D96D}" userId="S::andisak@chalmers.se::e84a60fb-d465-4c7b-a2ba-61a6734c8dc2"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3" dT="2021-11-03T20:10:34.58" personId="{0447F27A-348E-4F23-A5D1-6BBEFED3D96D}" id="{2FA377A4-E77E-46BA-A0F1-93C15108F646}">
    <text>Här visas den bolagsskatt som gällde för det beskattningsåret</text>
  </threadedComment>
  <threadedComment ref="M12" dT="2021-11-03T11:14:39.27" personId="{0447F27A-348E-4F23-A5D1-6BBEFED3D96D}" id="{F92EFCBB-CEF1-49B4-8612-9E77AC83A627}">
    <text>Vad skall detta heta?</text>
  </threadedComment>
  <threadedComment ref="M27" dT="2021-11-03T11:40:40.17" personId="{0447F27A-348E-4F23-A5D1-6BBEFED3D96D}" id="{4E5840F4-DA59-4ED0-8B6B-E48A3F897260}">
    <text>Med "JEK" menas bokfört värde EK + obeskattade reservers andel av EK (OR*(1-s))</text>
  </threadedComment>
  <threadedComment ref="A43" dT="2021-11-03T11:28:03.62" personId="{0447F27A-348E-4F23-A5D1-6BBEFED3D96D}" id="{60513E68-B280-4516-A1BD-1F29D69DA918}">
    <text>Det är alltid bra att göra kontroller så att man ser att allt stämmer...</text>
  </threadedComment>
  <threadedComment ref="M59" dT="2021-11-03T15:02:31.42" personId="{0447F27A-348E-4F23-A5D1-6BBEFED3D96D}" id="{906B7664-75C0-4F8D-B534-49A8018C103A}">
    <text>Som proxy för KSV används summa rörelsekostnader</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youtube.com/playlist?list=PLmUVbNPRKExetmo4HQDjDZ_hsL5jLCqzN" TargetMode="External"/><Relationship Id="rId2" Type="http://schemas.openxmlformats.org/officeDocument/2006/relationships/hyperlink" Target="https://youtu.be/TmebfKy6et0" TargetMode="External"/><Relationship Id="rId1" Type="http://schemas.openxmlformats.org/officeDocument/2006/relationships/hyperlink" Target="https://youtu.be/kQfYds7Srq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youtu.be/TmebfKy6et0" TargetMode="External"/><Relationship Id="rId2" Type="http://schemas.openxmlformats.org/officeDocument/2006/relationships/hyperlink" Target="https://youtu.be/kQfYds7SrqI" TargetMode="External"/><Relationship Id="rId1" Type="http://schemas.openxmlformats.org/officeDocument/2006/relationships/hyperlink" Target="https://youtube.com/playlist?list=PLmUVbNPRKExetmo4HQDjDZ_hsL5jLCqzN" TargetMode="External"/><Relationship Id="rId5" Type="http://schemas.openxmlformats.org/officeDocument/2006/relationships/drawing" Target="../drawings/drawing6.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microsoft.com/office/2017/10/relationships/threadedComment" Target="../threadedComments/threadedComment1.xml"/><Relationship Id="rId2" Type="http://schemas.openxmlformats.org/officeDocument/2006/relationships/hyperlink" Target="https://www.skatteverket.se/foretag/drivaforetag/foretagsformer/aktiebolag.4.5c13cb6b1198121ee8580002546.html" TargetMode="External"/><Relationship Id="rId1" Type="http://schemas.openxmlformats.org/officeDocument/2006/relationships/hyperlink" Target="https://www.ekonomifakta.se/fakta/skatter/skatt-pa-foretagande-och-kapital/bolagsskat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hyperlink" Target="https://youtu.be/kQfYds7Sr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AA9B2-717B-4736-AED3-42F8564921AC}">
  <dimension ref="B1:U39"/>
  <sheetViews>
    <sheetView showGridLines="0" tabSelected="1" zoomScale="130" zoomScaleNormal="130" workbookViewId="0">
      <selection activeCell="P35" sqref="P35"/>
    </sheetView>
  </sheetViews>
  <sheetFormatPr defaultRowHeight="12.75" x14ac:dyDescent="0.2"/>
  <cols>
    <col min="1" max="2" width="4.5703125" customWidth="1"/>
    <col min="3" max="3" width="8.140625" bestFit="1" customWidth="1"/>
  </cols>
  <sheetData>
    <row r="1" spans="2:21" x14ac:dyDescent="0.2">
      <c r="B1" s="9" t="s">
        <v>602</v>
      </c>
    </row>
    <row r="2" spans="2:21" x14ac:dyDescent="0.2">
      <c r="B2" s="220" t="s">
        <v>603</v>
      </c>
    </row>
    <row r="3" spans="2:21" x14ac:dyDescent="0.2">
      <c r="B3" s="155" t="s">
        <v>605</v>
      </c>
    </row>
    <row r="5" spans="2:21" ht="23.25" x14ac:dyDescent="0.35">
      <c r="B5" s="339" t="s">
        <v>604</v>
      </c>
      <c r="C5" s="15"/>
      <c r="D5" s="15"/>
      <c r="E5" s="15"/>
      <c r="F5" s="15"/>
      <c r="G5" s="15"/>
    </row>
    <row r="6" spans="2:21" x14ac:dyDescent="0.2">
      <c r="B6" s="223" t="s">
        <v>588</v>
      </c>
      <c r="C6" s="223" t="s">
        <v>589</v>
      </c>
      <c r="D6" s="223" t="s">
        <v>590</v>
      </c>
      <c r="E6" s="57"/>
      <c r="F6" s="57"/>
      <c r="G6" s="57"/>
      <c r="H6" s="57"/>
      <c r="M6" s="220" t="s">
        <v>601</v>
      </c>
    </row>
    <row r="7" spans="2:21" ht="13.5" thickBot="1" x14ac:dyDescent="0.25">
      <c r="B7" s="340">
        <v>1</v>
      </c>
      <c r="C7" s="338" t="s">
        <v>578</v>
      </c>
      <c r="D7" t="s">
        <v>591</v>
      </c>
    </row>
    <row r="8" spans="2:21" ht="13.5" thickBot="1" x14ac:dyDescent="0.25">
      <c r="B8" s="341">
        <v>2</v>
      </c>
      <c r="C8" s="338" t="s">
        <v>579</v>
      </c>
      <c r="D8" s="220" t="s">
        <v>592</v>
      </c>
    </row>
    <row r="9" spans="2:21" ht="13.5" thickBot="1" x14ac:dyDescent="0.25">
      <c r="B9" s="341">
        <v>3</v>
      </c>
      <c r="C9" s="338" t="s">
        <v>580</v>
      </c>
      <c r="D9" s="220" t="s">
        <v>593</v>
      </c>
      <c r="M9" t="s">
        <v>534</v>
      </c>
    </row>
    <row r="10" spans="2:21" ht="13.5" thickBot="1" x14ac:dyDescent="0.25">
      <c r="B10" s="341">
        <v>4</v>
      </c>
      <c r="C10" s="338" t="s">
        <v>581</v>
      </c>
      <c r="D10" s="220" t="s">
        <v>594</v>
      </c>
      <c r="M10" s="338" t="s">
        <v>533</v>
      </c>
    </row>
    <row r="11" spans="2:21" ht="13.5" thickBot="1" x14ac:dyDescent="0.25">
      <c r="B11" s="341">
        <v>5</v>
      </c>
      <c r="C11" s="338" t="s">
        <v>582</v>
      </c>
      <c r="D11" s="220" t="s">
        <v>595</v>
      </c>
    </row>
    <row r="12" spans="2:21" ht="13.5" thickBot="1" x14ac:dyDescent="0.25">
      <c r="B12" s="341">
        <v>6</v>
      </c>
      <c r="C12" s="338" t="s">
        <v>583</v>
      </c>
      <c r="D12" s="220" t="s">
        <v>596</v>
      </c>
    </row>
    <row r="13" spans="2:21" ht="13.5" thickBot="1" x14ac:dyDescent="0.25">
      <c r="B13" s="341">
        <v>7</v>
      </c>
      <c r="C13" s="338" t="s">
        <v>584</v>
      </c>
      <c r="D13" s="220" t="s">
        <v>597</v>
      </c>
    </row>
    <row r="14" spans="2:21" ht="13.5" thickBot="1" x14ac:dyDescent="0.25">
      <c r="B14" s="341">
        <v>8</v>
      </c>
      <c r="C14" s="338" t="s">
        <v>585</v>
      </c>
      <c r="D14" s="220" t="s">
        <v>598</v>
      </c>
      <c r="M14" t="s">
        <v>538</v>
      </c>
    </row>
    <row r="15" spans="2:21" ht="13.5" thickBot="1" x14ac:dyDescent="0.25">
      <c r="B15" s="341">
        <v>9</v>
      </c>
      <c r="C15" s="338" t="s">
        <v>586</v>
      </c>
      <c r="D15" s="220" t="s">
        <v>599</v>
      </c>
    </row>
    <row r="16" spans="2:21" ht="13.5" thickBot="1" x14ac:dyDescent="0.25">
      <c r="B16" s="341">
        <v>10</v>
      </c>
      <c r="C16" s="338" t="s">
        <v>587</v>
      </c>
      <c r="D16" s="220" t="s">
        <v>600</v>
      </c>
      <c r="M16" t="s">
        <v>535</v>
      </c>
      <c r="P16" t="s">
        <v>536</v>
      </c>
      <c r="U16" s="338" t="s">
        <v>537</v>
      </c>
    </row>
    <row r="20" spans="2:21" x14ac:dyDescent="0.2">
      <c r="M20" t="s">
        <v>562</v>
      </c>
    </row>
    <row r="22" spans="2:21" x14ac:dyDescent="0.2">
      <c r="M22" t="s">
        <v>563</v>
      </c>
      <c r="U22" s="338" t="s">
        <v>564</v>
      </c>
    </row>
    <row r="23" spans="2:21" x14ac:dyDescent="0.2">
      <c r="M23" t="s">
        <v>565</v>
      </c>
    </row>
    <row r="29" spans="2:21" x14ac:dyDescent="0.2">
      <c r="B29" t="s">
        <v>364</v>
      </c>
    </row>
    <row r="30" spans="2:21" x14ac:dyDescent="0.2">
      <c r="B30" t="s">
        <v>551</v>
      </c>
    </row>
    <row r="31" spans="2:21" x14ac:dyDescent="0.2">
      <c r="B31" t="s">
        <v>552</v>
      </c>
    </row>
    <row r="33" spans="2:11" x14ac:dyDescent="0.2">
      <c r="B33" t="s">
        <v>561</v>
      </c>
    </row>
    <row r="34" spans="2:11" x14ac:dyDescent="0.2">
      <c r="B34" t="s">
        <v>607</v>
      </c>
    </row>
    <row r="35" spans="2:11" x14ac:dyDescent="0.2">
      <c r="B35" t="s">
        <v>608</v>
      </c>
    </row>
    <row r="37" spans="2:11" x14ac:dyDescent="0.2">
      <c r="B37" t="s">
        <v>567</v>
      </c>
      <c r="I37" s="328" t="s">
        <v>560</v>
      </c>
      <c r="J37" s="328"/>
      <c r="K37" s="328"/>
    </row>
    <row r="39" spans="2:11" x14ac:dyDescent="0.2">
      <c r="B39" t="s">
        <v>609</v>
      </c>
      <c r="I39" s="343" t="s">
        <v>610</v>
      </c>
      <c r="J39" s="343"/>
      <c r="K39" s="343"/>
    </row>
  </sheetData>
  <hyperlinks>
    <hyperlink ref="C7" location="'kap 3'!A1" display="kap 3" xr:uid="{20956525-FAA7-45C0-8BB3-029638BF8179}"/>
    <hyperlink ref="C8" location="'kap 4'!A1" display="kap 4" xr:uid="{7BF45636-09E5-4665-B89E-3878E53B7E78}"/>
    <hyperlink ref="C9" location="'kap 6'!A1" display="kap 6" xr:uid="{17736F62-F8BB-4B07-BA6D-C4722BC622E7}"/>
    <hyperlink ref="C10" location="'kap 7'!A1" display="kap 7" xr:uid="{4F7659F3-7AED-4E5C-A95D-E720AD875E1A}"/>
    <hyperlink ref="C11" location="'7.2'!A1" display="7.2" xr:uid="{A0C42E20-D9CC-416D-9CBC-50272AEB26F4}"/>
    <hyperlink ref="C12" location="'7.3 GPB'!A1" display="7.3 GPB" xr:uid="{AB3C190E-231E-4AE4-90EC-CCA83ADC6C50}"/>
    <hyperlink ref="C13" location="'Kap 9'!A1" display="Kap 9" xr:uid="{2A307773-E8C3-45B1-A8CB-2452C1C8FAC7}"/>
    <hyperlink ref="C14" location="'Kap 10'!A1" display="Kap 10" xr:uid="{F7BCC55D-963C-48CE-8B07-C14AB56B6A23}"/>
    <hyperlink ref="C15" location="'Kap 11'!A1" display="Kap 11" xr:uid="{7C7F96E8-B2CA-4835-B7C5-2DD6881FC715}"/>
    <hyperlink ref="C16" location="'kap 12'!A1" display="kap 12" xr:uid="{F86A879C-0F45-41D6-943C-E1CE6F9F74E4}"/>
    <hyperlink ref="U16" r:id="rId1" xr:uid="{338A8F3D-A3A9-4AA4-B9C5-184D73C54136}"/>
    <hyperlink ref="U22" r:id="rId2" xr:uid="{35732870-F37F-4624-B5E4-3325437BDEA5}"/>
    <hyperlink ref="M10" r:id="rId3" xr:uid="{EF227F01-5E7C-4524-8A07-90F353B5FD38}"/>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9C14C-500F-4C2F-82BF-3FCEA65B1D73}">
  <dimension ref="A1:AE34"/>
  <sheetViews>
    <sheetView workbookViewId="0">
      <selection activeCell="H40" sqref="H40"/>
    </sheetView>
  </sheetViews>
  <sheetFormatPr defaultColWidth="9.140625" defaultRowHeight="15" x14ac:dyDescent="0.25"/>
  <cols>
    <col min="1" max="1" width="28" style="172" customWidth="1"/>
    <col min="2" max="4" width="9.140625" style="172"/>
    <col min="5" max="5" width="13.5703125" style="172" customWidth="1"/>
    <col min="6" max="6" width="32.7109375" style="172" bestFit="1" customWidth="1"/>
    <col min="7" max="7" width="8.85546875" style="172" bestFit="1" customWidth="1"/>
    <col min="8" max="8" width="32.5703125" style="172" bestFit="1" customWidth="1"/>
    <col min="9" max="9" width="8.85546875" style="172" bestFit="1" customWidth="1"/>
    <col min="10" max="15" width="9.140625" style="172"/>
    <col min="16" max="16" width="29.7109375" style="172" bestFit="1" customWidth="1"/>
    <col min="17" max="17" width="28.85546875" style="172" bestFit="1" customWidth="1"/>
    <col min="18" max="18" width="10.7109375" style="172" bestFit="1" customWidth="1"/>
    <col min="19" max="19" width="11" style="172" bestFit="1" customWidth="1"/>
    <col min="20" max="20" width="21.5703125" style="172" bestFit="1" customWidth="1"/>
    <col min="21" max="25" width="9.140625" style="172"/>
    <col min="26" max="26" width="29.7109375" style="172" bestFit="1" customWidth="1"/>
    <col min="27" max="27" width="30.42578125" style="172" customWidth="1"/>
    <col min="28" max="28" width="12.85546875" style="172" customWidth="1"/>
    <col min="29" max="29" width="13.140625" style="172" customWidth="1"/>
    <col min="30" max="30" width="23.28515625" style="172" customWidth="1"/>
    <col min="31" max="31" width="11.42578125" style="172" bestFit="1" customWidth="1"/>
    <col min="32" max="16384" width="9.140625" style="172"/>
  </cols>
  <sheetData>
    <row r="1" spans="1:31" ht="16.5" thickTop="1" thickBot="1" x14ac:dyDescent="0.3">
      <c r="A1" s="112" t="s">
        <v>403</v>
      </c>
      <c r="E1" s="112" t="s">
        <v>398</v>
      </c>
    </row>
    <row r="2" spans="1:31" ht="15.75" thickTop="1" x14ac:dyDescent="0.25"/>
    <row r="3" spans="1:31" x14ac:dyDescent="0.25">
      <c r="A3" s="213" t="s">
        <v>399</v>
      </c>
      <c r="B3" s="217">
        <v>20000</v>
      </c>
      <c r="C3"/>
      <c r="D3"/>
      <c r="E3" s="172" t="s">
        <v>365</v>
      </c>
    </row>
    <row r="4" spans="1:31" x14ac:dyDescent="0.25">
      <c r="A4" s="214" t="s">
        <v>400</v>
      </c>
      <c r="B4" s="218">
        <v>50000</v>
      </c>
      <c r="C4"/>
      <c r="D4"/>
      <c r="E4" s="172" t="s">
        <v>366</v>
      </c>
    </row>
    <row r="5" spans="1:31" ht="15.75" thickBot="1" x14ac:dyDescent="0.3">
      <c r="A5" s="213" t="s">
        <v>59</v>
      </c>
      <c r="B5" s="219">
        <v>0.2</v>
      </c>
      <c r="C5"/>
      <c r="D5"/>
    </row>
    <row r="6" spans="1:31" ht="18.75" customHeight="1" thickBot="1" x14ac:dyDescent="0.3">
      <c r="A6" s="214" t="s">
        <v>401</v>
      </c>
      <c r="B6" s="10">
        <f>B4*(1-B5)</f>
        <v>40000</v>
      </c>
      <c r="C6"/>
      <c r="D6" s="215"/>
      <c r="F6" s="173" t="s">
        <v>41</v>
      </c>
      <c r="G6" s="173"/>
      <c r="H6" s="173" t="s">
        <v>186</v>
      </c>
      <c r="I6" s="173"/>
      <c r="P6" s="174" t="s">
        <v>367</v>
      </c>
      <c r="Q6" s="175" t="s">
        <v>368</v>
      </c>
      <c r="R6" s="176" t="s">
        <v>369</v>
      </c>
      <c r="S6" s="176" t="s">
        <v>370</v>
      </c>
      <c r="T6" s="175" t="s">
        <v>371</v>
      </c>
    </row>
    <row r="7" spans="1:31" ht="15.75" thickBot="1" x14ac:dyDescent="0.3">
      <c r="A7" s="216"/>
      <c r="B7" s="4"/>
      <c r="C7"/>
      <c r="D7"/>
      <c r="F7" s="177" t="s">
        <v>166</v>
      </c>
      <c r="G7" s="178">
        <v>0</v>
      </c>
      <c r="H7" s="179" t="s">
        <v>102</v>
      </c>
      <c r="I7" s="180">
        <v>738080</v>
      </c>
      <c r="P7" s="181" t="s">
        <v>166</v>
      </c>
      <c r="Q7" s="182">
        <f>G7</f>
        <v>0</v>
      </c>
      <c r="R7" s="183">
        <f>K23</f>
        <v>50000</v>
      </c>
      <c r="S7" s="183">
        <f>-$K$34*R7</f>
        <v>-10300</v>
      </c>
      <c r="T7" s="183">
        <f>SUM(Q7:S7)</f>
        <v>39700</v>
      </c>
    </row>
    <row r="8" spans="1:31" ht="15.75" thickBot="1" x14ac:dyDescent="0.3">
      <c r="A8" s="214" t="s">
        <v>402</v>
      </c>
      <c r="B8" s="10">
        <f>B3+B6</f>
        <v>60000</v>
      </c>
      <c r="C8"/>
      <c r="D8" s="215"/>
      <c r="F8" s="177" t="s">
        <v>174</v>
      </c>
      <c r="G8" s="184">
        <v>340245</v>
      </c>
      <c r="H8" s="179" t="s">
        <v>372</v>
      </c>
      <c r="I8" s="180">
        <v>274986</v>
      </c>
      <c r="P8" s="181" t="s">
        <v>174</v>
      </c>
      <c r="Q8" s="182">
        <f>G8</f>
        <v>340245</v>
      </c>
      <c r="R8" s="183">
        <f>Q8*K26</f>
        <v>-170122.5</v>
      </c>
      <c r="S8" s="183">
        <f>-$K$34*R8</f>
        <v>35045.235000000001</v>
      </c>
      <c r="T8" s="183">
        <f>SUM(Q8:S8)</f>
        <v>205167.73499999999</v>
      </c>
      <c r="Z8" s="185" t="s">
        <v>367</v>
      </c>
      <c r="AA8" s="186" t="s">
        <v>368</v>
      </c>
      <c r="AB8" s="186" t="s">
        <v>369</v>
      </c>
      <c r="AC8" s="186" t="s">
        <v>370</v>
      </c>
      <c r="AD8" s="187" t="s">
        <v>371</v>
      </c>
      <c r="AE8" s="187" t="s">
        <v>373</v>
      </c>
    </row>
    <row r="9" spans="1:31" ht="15.75" thickBot="1" x14ac:dyDescent="0.3">
      <c r="F9" s="177" t="s">
        <v>374</v>
      </c>
      <c r="G9" s="184">
        <v>154321</v>
      </c>
      <c r="H9" s="179" t="s">
        <v>147</v>
      </c>
      <c r="I9" s="180">
        <v>30019</v>
      </c>
      <c r="P9" s="181" t="s">
        <v>374</v>
      </c>
      <c r="Q9" s="182">
        <f>G9</f>
        <v>154321</v>
      </c>
      <c r="R9" s="183">
        <f>Q9*K29</f>
        <v>-30864.2</v>
      </c>
      <c r="S9" s="183">
        <f>-$K$34*R9</f>
        <v>6358.0252</v>
      </c>
      <c r="T9" s="183">
        <f>SUM(Q9:S9)</f>
        <v>129814.82520000001</v>
      </c>
      <c r="Z9" s="188" t="s">
        <v>166</v>
      </c>
      <c r="AA9" s="189">
        <v>0</v>
      </c>
      <c r="AB9" s="189">
        <v>50000</v>
      </c>
      <c r="AC9" s="189">
        <v>-10300</v>
      </c>
      <c r="AD9" s="190">
        <v>39700</v>
      </c>
      <c r="AE9" s="190">
        <v>1</v>
      </c>
    </row>
    <row r="10" spans="1:31" ht="15.75" thickBot="1" x14ac:dyDescent="0.3">
      <c r="F10" s="177" t="s">
        <v>375</v>
      </c>
      <c r="G10" s="184">
        <v>128523</v>
      </c>
      <c r="H10" s="179" t="s">
        <v>376</v>
      </c>
      <c r="I10" s="180">
        <v>391367</v>
      </c>
      <c r="P10" s="181" t="s">
        <v>377</v>
      </c>
      <c r="Q10" s="182">
        <f>G10+G11+G12</f>
        <v>1174235</v>
      </c>
      <c r="R10" s="191"/>
      <c r="S10" s="191"/>
      <c r="T10" s="183">
        <f>SUM(Q10:S10)</f>
        <v>1174235</v>
      </c>
      <c r="Z10" s="188" t="s">
        <v>174</v>
      </c>
      <c r="AA10" s="189">
        <v>340245</v>
      </c>
      <c r="AB10" s="189">
        <v>-170122.5</v>
      </c>
      <c r="AC10" s="189">
        <v>35045.235000000001</v>
      </c>
      <c r="AD10" s="190">
        <v>205167.73499999999</v>
      </c>
      <c r="AE10" s="190">
        <v>2</v>
      </c>
    </row>
    <row r="11" spans="1:31" ht="15.75" thickBot="1" x14ac:dyDescent="0.3">
      <c r="F11" s="177" t="s">
        <v>378</v>
      </c>
      <c r="G11" s="184">
        <v>10321</v>
      </c>
      <c r="H11" s="192" t="s">
        <v>379</v>
      </c>
      <c r="I11" s="193">
        <v>234349</v>
      </c>
      <c r="P11" s="194" t="s">
        <v>170</v>
      </c>
      <c r="Q11" s="195">
        <f>SUM(Q7:Q10)</f>
        <v>1668801</v>
      </c>
      <c r="R11" s="195">
        <f>SUM(R7:R10)</f>
        <v>-150986.70000000001</v>
      </c>
      <c r="S11" s="195">
        <f>SUM(S7:S10)</f>
        <v>31103.260200000001</v>
      </c>
      <c r="T11" s="195">
        <f>SUM(T7:T10)</f>
        <v>1548917.5601999999</v>
      </c>
      <c r="Z11" s="188" t="s">
        <v>374</v>
      </c>
      <c r="AA11" s="189">
        <v>154321</v>
      </c>
      <c r="AB11" s="189">
        <v>-30864.2</v>
      </c>
      <c r="AC11" s="189">
        <v>6358.0252</v>
      </c>
      <c r="AD11" s="190">
        <v>129814.82520000001</v>
      </c>
      <c r="AE11" s="190">
        <v>3</v>
      </c>
    </row>
    <row r="12" spans="1:31" ht="15.75" thickBot="1" x14ac:dyDescent="0.3">
      <c r="F12" s="196" t="s">
        <v>380</v>
      </c>
      <c r="G12" s="197">
        <v>1035391</v>
      </c>
      <c r="P12" s="181" t="s">
        <v>102</v>
      </c>
      <c r="Q12" s="183">
        <f>I7</f>
        <v>738080</v>
      </c>
      <c r="R12" s="198">
        <f>T12-Q12</f>
        <v>98455.444199999911</v>
      </c>
      <c r="S12" s="191"/>
      <c r="T12" s="183">
        <f>T11-T14</f>
        <v>836535.44419999991</v>
      </c>
      <c r="Z12" s="188" t="s">
        <v>377</v>
      </c>
      <c r="AA12" s="189">
        <v>1174235</v>
      </c>
      <c r="AB12" s="189"/>
      <c r="AC12" s="189"/>
      <c r="AD12" s="190">
        <v>1174235</v>
      </c>
      <c r="AE12" s="190"/>
    </row>
    <row r="13" spans="1:31" ht="15.75" thickBot="1" x14ac:dyDescent="0.3">
      <c r="G13" s="199">
        <f>SUM(G7:G12)</f>
        <v>1668801</v>
      </c>
      <c r="I13" s="199">
        <f>SUM(I7:I12)</f>
        <v>1668801</v>
      </c>
      <c r="P13" s="181" t="s">
        <v>372</v>
      </c>
      <c r="Q13" s="183">
        <f>I8</f>
        <v>274986</v>
      </c>
      <c r="R13" s="198">
        <f>-Q13</f>
        <v>-274986</v>
      </c>
      <c r="S13" s="191"/>
      <c r="T13" s="183">
        <f>SUM(Q13:S13)</f>
        <v>0</v>
      </c>
      <c r="Z13" s="200" t="s">
        <v>170</v>
      </c>
      <c r="AA13" s="201">
        <v>1668801</v>
      </c>
      <c r="AB13" s="201">
        <v>-150986.70000000001</v>
      </c>
      <c r="AC13" s="201">
        <v>31103.260200000001</v>
      </c>
      <c r="AD13" s="202">
        <v>1548917.5601999999</v>
      </c>
      <c r="AE13" s="202"/>
    </row>
    <row r="14" spans="1:31" ht="15.75" thickBot="1" x14ac:dyDescent="0.3">
      <c r="P14" s="181" t="s">
        <v>211</v>
      </c>
      <c r="Q14" s="183">
        <f>I9+I10+I11</f>
        <v>655735</v>
      </c>
      <c r="R14" s="183">
        <f>Q13*K34</f>
        <v>56647.115999999995</v>
      </c>
      <c r="S14" s="191"/>
      <c r="T14" s="183">
        <f>SUM(Q14:S14)</f>
        <v>712382.11600000004</v>
      </c>
      <c r="Z14" s="188" t="s">
        <v>102</v>
      </c>
      <c r="AA14" s="189">
        <v>738080</v>
      </c>
      <c r="AB14" s="189">
        <v>98455.444199999911</v>
      </c>
      <c r="AC14" s="189"/>
      <c r="AD14" s="190">
        <v>836535.44419999991</v>
      </c>
      <c r="AE14" s="190">
        <v>4</v>
      </c>
    </row>
    <row r="15" spans="1:31" ht="15.75" thickBot="1" x14ac:dyDescent="0.3">
      <c r="E15" s="172" t="s">
        <v>381</v>
      </c>
      <c r="P15" s="194" t="s">
        <v>382</v>
      </c>
      <c r="Q15" s="195">
        <f>SUM(Q12:Q14)</f>
        <v>1668801</v>
      </c>
      <c r="R15" s="195">
        <f>+SUM(R12:R14)</f>
        <v>-119883.43980000009</v>
      </c>
      <c r="S15" s="203">
        <v>0</v>
      </c>
      <c r="T15" s="195">
        <f>SUM(T12:T14)</f>
        <v>1548917.5601999999</v>
      </c>
      <c r="Z15" s="188" t="s">
        <v>372</v>
      </c>
      <c r="AA15" s="189">
        <v>274986</v>
      </c>
      <c r="AB15" s="189">
        <v>-274986</v>
      </c>
      <c r="AC15" s="189"/>
      <c r="AD15" s="190">
        <v>0</v>
      </c>
      <c r="AE15" s="190">
        <v>5</v>
      </c>
    </row>
    <row r="16" spans="1:31" ht="15.75" thickBot="1" x14ac:dyDescent="0.3">
      <c r="E16" s="172" t="s">
        <v>383</v>
      </c>
      <c r="P16" s="204"/>
      <c r="Q16" s="191"/>
      <c r="R16" s="191"/>
      <c r="S16" s="191"/>
      <c r="T16" s="191"/>
      <c r="Z16" s="188" t="s">
        <v>211</v>
      </c>
      <c r="AA16" s="189">
        <v>655735</v>
      </c>
      <c r="AB16" s="189">
        <v>56647.115999999995</v>
      </c>
      <c r="AC16" s="189"/>
      <c r="AD16" s="190">
        <v>712382.11600000004</v>
      </c>
      <c r="AE16" s="190">
        <v>6</v>
      </c>
    </row>
    <row r="17" spans="5:31" ht="15.75" thickBot="1" x14ac:dyDescent="0.3">
      <c r="E17" s="172" t="s">
        <v>384</v>
      </c>
      <c r="P17" s="194" t="s">
        <v>385</v>
      </c>
      <c r="Q17" s="205">
        <f>T12</f>
        <v>836535.44419999991</v>
      </c>
      <c r="R17" s="191"/>
      <c r="S17" s="191"/>
      <c r="T17" s="191"/>
      <c r="Z17" s="200" t="s">
        <v>382</v>
      </c>
      <c r="AA17" s="201">
        <v>1668801</v>
      </c>
      <c r="AB17" s="201">
        <v>0</v>
      </c>
      <c r="AC17" s="201">
        <v>0</v>
      </c>
      <c r="AD17" s="202">
        <v>1548917.5601999999</v>
      </c>
      <c r="AE17" s="202"/>
    </row>
    <row r="18" spans="5:31" x14ac:dyDescent="0.25">
      <c r="Z18" s="188"/>
      <c r="AA18" s="189"/>
      <c r="AB18" s="189"/>
      <c r="AC18" s="189"/>
      <c r="AD18" s="190"/>
      <c r="AE18" s="190"/>
    </row>
    <row r="19" spans="5:31" x14ac:dyDescent="0.25">
      <c r="E19" s="172" t="s">
        <v>386</v>
      </c>
      <c r="Z19" s="206" t="s">
        <v>385</v>
      </c>
      <c r="AA19" s="207">
        <v>836535.44419999991</v>
      </c>
      <c r="AB19" s="208"/>
      <c r="AC19" s="208"/>
      <c r="AD19" s="209"/>
      <c r="AE19" s="209"/>
    </row>
    <row r="20" spans="5:31" x14ac:dyDescent="0.25">
      <c r="E20" s="172" t="s">
        <v>387</v>
      </c>
      <c r="P20" s="313" t="s">
        <v>528</v>
      </c>
    </row>
    <row r="21" spans="5:31" x14ac:dyDescent="0.25">
      <c r="E21" s="172" t="s">
        <v>388</v>
      </c>
      <c r="P21" s="311" t="s">
        <v>520</v>
      </c>
    </row>
    <row r="22" spans="5:31" x14ac:dyDescent="0.25">
      <c r="P22" s="172" t="s">
        <v>389</v>
      </c>
    </row>
    <row r="23" spans="5:31" x14ac:dyDescent="0.25">
      <c r="E23" s="172" t="s">
        <v>390</v>
      </c>
      <c r="K23" s="210">
        <v>50000</v>
      </c>
    </row>
    <row r="24" spans="5:31" x14ac:dyDescent="0.25">
      <c r="P24" s="172" t="s">
        <v>391</v>
      </c>
    </row>
    <row r="25" spans="5:31" x14ac:dyDescent="0.25">
      <c r="E25" s="172" t="s">
        <v>392</v>
      </c>
      <c r="P25" s="172" t="s">
        <v>393</v>
      </c>
    </row>
    <row r="26" spans="5:31" x14ac:dyDescent="0.25">
      <c r="E26" s="172" t="s">
        <v>394</v>
      </c>
      <c r="K26" s="211">
        <v>-0.5</v>
      </c>
    </row>
    <row r="28" spans="5:31" x14ac:dyDescent="0.25">
      <c r="E28" s="172" t="s">
        <v>395</v>
      </c>
    </row>
    <row r="29" spans="5:31" x14ac:dyDescent="0.25">
      <c r="K29" s="211">
        <v>-0.2</v>
      </c>
    </row>
    <row r="30" spans="5:31" x14ac:dyDescent="0.25">
      <c r="E30" s="172" t="s">
        <v>396</v>
      </c>
    </row>
    <row r="32" spans="5:31" x14ac:dyDescent="0.25">
      <c r="E32" s="172" t="s">
        <v>397</v>
      </c>
    </row>
    <row r="34" spans="5:11" x14ac:dyDescent="0.25">
      <c r="E34" s="311" t="s">
        <v>519</v>
      </c>
      <c r="K34" s="212">
        <v>0.20599999999999999</v>
      </c>
    </row>
  </sheetData>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92"/>
  <sheetViews>
    <sheetView zoomScale="70" zoomScaleNormal="70" workbookViewId="0">
      <selection activeCell="AE24" sqref="AE24"/>
    </sheetView>
  </sheetViews>
  <sheetFormatPr defaultColWidth="8.85546875" defaultRowHeight="12.75" x14ac:dyDescent="0.2"/>
  <cols>
    <col min="1" max="1" width="51.85546875" bestFit="1" customWidth="1"/>
    <col min="2" max="2" width="9.7109375" bestFit="1" customWidth="1"/>
    <col min="3" max="6" width="9" bestFit="1" customWidth="1"/>
    <col min="7" max="7" width="1.7109375" style="114" customWidth="1"/>
    <col min="8" max="8" width="1.7109375" style="126" customWidth="1"/>
    <col min="9" max="9" width="1.7109375" style="114" customWidth="1"/>
    <col min="10" max="10" width="44.7109375" bestFit="1" customWidth="1"/>
    <col min="11" max="11" width="8.140625" bestFit="1" customWidth="1"/>
    <col min="12" max="12" width="6.140625" bestFit="1" customWidth="1"/>
    <col min="13" max="13" width="7.140625" bestFit="1" customWidth="1"/>
    <col min="14" max="14" width="6.5703125" bestFit="1" customWidth="1"/>
    <col min="15" max="15" width="1.7109375" style="114" customWidth="1"/>
    <col min="16" max="16" width="1.7109375" style="126" customWidth="1"/>
    <col min="17" max="17" width="1.7109375" style="114" customWidth="1"/>
    <col min="18" max="18" width="40.7109375" bestFit="1" customWidth="1"/>
    <col min="19" max="19" width="10.42578125" bestFit="1" customWidth="1"/>
    <col min="20" max="25" width="9" bestFit="1" customWidth="1"/>
    <col min="26" max="26" width="1.7109375" style="114" customWidth="1"/>
    <col min="27" max="27" width="1.7109375" style="126" customWidth="1"/>
    <col min="28" max="28" width="1.7109375" style="114" customWidth="1"/>
    <col min="29" max="29" width="12.7109375" bestFit="1" customWidth="1"/>
    <col min="30" max="30" width="47.42578125" bestFit="1" customWidth="1"/>
    <col min="31" max="31" width="7.140625" bestFit="1" customWidth="1"/>
    <col min="32" max="35" width="9" bestFit="1" customWidth="1"/>
  </cols>
  <sheetData>
    <row r="1" spans="1:35" ht="14.25" thickTop="1" thickBot="1" x14ac:dyDescent="0.25">
      <c r="A1" s="112" t="s">
        <v>337</v>
      </c>
      <c r="J1" s="112" t="s">
        <v>128</v>
      </c>
      <c r="R1" s="112" t="s">
        <v>227</v>
      </c>
      <c r="AC1" s="112" t="s">
        <v>230</v>
      </c>
    </row>
    <row r="2" spans="1:35" ht="13.5" thickTop="1" x14ac:dyDescent="0.2"/>
    <row r="3" spans="1:35" x14ac:dyDescent="0.2">
      <c r="G3" s="115"/>
      <c r="H3" s="127"/>
      <c r="J3" s="9" t="s">
        <v>121</v>
      </c>
      <c r="O3" s="115"/>
      <c r="P3" s="127"/>
      <c r="R3" t="s">
        <v>130</v>
      </c>
      <c r="S3" s="80">
        <v>0.05</v>
      </c>
      <c r="T3" s="81"/>
      <c r="U3" s="81"/>
      <c r="V3" s="81"/>
      <c r="W3" s="81"/>
      <c r="X3" s="81"/>
      <c r="Y3" s="81"/>
      <c r="Z3" s="115"/>
      <c r="AA3" s="127"/>
    </row>
    <row r="4" spans="1:35" x14ac:dyDescent="0.2">
      <c r="A4" s="56" t="s">
        <v>338</v>
      </c>
      <c r="B4" s="58">
        <v>100</v>
      </c>
      <c r="G4" s="116"/>
      <c r="H4" s="128"/>
      <c r="J4" s="4" t="s">
        <v>425</v>
      </c>
      <c r="K4" s="68">
        <v>130</v>
      </c>
      <c r="O4" s="116"/>
      <c r="P4" s="128"/>
      <c r="R4" t="s">
        <v>126</v>
      </c>
      <c r="S4" s="80">
        <v>0.16</v>
      </c>
      <c r="Z4" s="116"/>
      <c r="AA4" s="128"/>
      <c r="AD4" t="s">
        <v>207</v>
      </c>
      <c r="AE4" s="228">
        <v>0.12</v>
      </c>
    </row>
    <row r="5" spans="1:35" x14ac:dyDescent="0.2">
      <c r="A5" s="59" t="s">
        <v>339</v>
      </c>
      <c r="B5" s="95">
        <v>15</v>
      </c>
      <c r="G5" s="116"/>
      <c r="H5" s="128"/>
      <c r="J5" s="4" t="s">
        <v>426</v>
      </c>
      <c r="K5" s="68">
        <v>40</v>
      </c>
      <c r="M5" s="25"/>
      <c r="O5" s="116"/>
      <c r="P5" s="128"/>
      <c r="R5" s="37" t="s">
        <v>137</v>
      </c>
      <c r="S5" s="82" t="s">
        <v>99</v>
      </c>
      <c r="T5" s="82" t="s">
        <v>131</v>
      </c>
      <c r="U5" s="82" t="s">
        <v>132</v>
      </c>
      <c r="V5" s="82" t="s">
        <v>133</v>
      </c>
      <c r="W5" s="82" t="s">
        <v>134</v>
      </c>
      <c r="X5" s="82" t="s">
        <v>135</v>
      </c>
      <c r="Z5" s="116"/>
      <c r="AA5" s="128"/>
      <c r="AD5" t="s">
        <v>111</v>
      </c>
      <c r="AE5" s="228">
        <v>0.2</v>
      </c>
    </row>
    <row r="6" spans="1:35" x14ac:dyDescent="0.2">
      <c r="A6" s="59" t="s">
        <v>340</v>
      </c>
      <c r="B6" s="60">
        <v>0.15</v>
      </c>
      <c r="C6" s="1"/>
      <c r="D6" s="1"/>
      <c r="E6" s="1"/>
      <c r="G6" s="116"/>
      <c r="H6" s="128"/>
      <c r="J6" s="4" t="s">
        <v>427</v>
      </c>
      <c r="K6" s="68">
        <v>60</v>
      </c>
      <c r="M6" s="25"/>
      <c r="O6" s="116"/>
      <c r="P6" s="128"/>
      <c r="R6" t="s">
        <v>81</v>
      </c>
      <c r="S6" s="72">
        <v>12000</v>
      </c>
      <c r="T6" s="72">
        <v>15000</v>
      </c>
      <c r="U6" s="72">
        <v>18000</v>
      </c>
      <c r="V6" s="72">
        <v>20700</v>
      </c>
      <c r="W6" s="72">
        <v>22770</v>
      </c>
      <c r="X6" s="72">
        <v>23908.5</v>
      </c>
      <c r="Z6" s="116"/>
      <c r="AA6" s="128"/>
      <c r="AD6" t="s">
        <v>208</v>
      </c>
      <c r="AE6" s="228">
        <v>0.11</v>
      </c>
    </row>
    <row r="7" spans="1:35" x14ac:dyDescent="0.2">
      <c r="A7" s="59" t="s">
        <v>341</v>
      </c>
      <c r="B7" s="60">
        <v>0.03</v>
      </c>
      <c r="C7" s="1"/>
      <c r="D7" s="1"/>
      <c r="E7" s="1"/>
      <c r="G7" s="116"/>
      <c r="H7" s="128"/>
      <c r="J7" s="4" t="s">
        <v>428</v>
      </c>
      <c r="K7" s="68">
        <v>20</v>
      </c>
      <c r="O7" s="116"/>
      <c r="P7" s="128"/>
      <c r="R7" t="s">
        <v>138</v>
      </c>
      <c r="S7" s="72">
        <v>-5000</v>
      </c>
      <c r="T7" s="72">
        <v>-11250</v>
      </c>
      <c r="U7" s="72">
        <v>-13500</v>
      </c>
      <c r="V7" s="72">
        <v>-15525</v>
      </c>
      <c r="W7" s="72">
        <v>-17077.5</v>
      </c>
      <c r="X7" s="72">
        <v>-17931.375000000004</v>
      </c>
      <c r="Z7" s="116"/>
      <c r="AA7" s="128"/>
      <c r="AD7" t="s">
        <v>209</v>
      </c>
      <c r="AE7" s="228">
        <v>3.5000000000000003E-2</v>
      </c>
    </row>
    <row r="8" spans="1:35" x14ac:dyDescent="0.2">
      <c r="A8" s="59" t="s">
        <v>85</v>
      </c>
      <c r="B8" s="60">
        <v>0.2</v>
      </c>
      <c r="C8" s="1"/>
      <c r="D8" s="1"/>
      <c r="E8" s="1"/>
      <c r="G8" s="116"/>
      <c r="H8" s="128"/>
      <c r="J8" s="4" t="s">
        <v>126</v>
      </c>
      <c r="K8" s="70">
        <v>0.14000000000000001</v>
      </c>
      <c r="O8" s="116"/>
      <c r="P8" s="128"/>
      <c r="R8" t="s">
        <v>104</v>
      </c>
      <c r="S8" s="72">
        <v>-201.4</v>
      </c>
      <c r="T8" s="72">
        <v>-222.65625</v>
      </c>
      <c r="U8" s="72">
        <v>-540</v>
      </c>
      <c r="V8" s="72">
        <v>-621</v>
      </c>
      <c r="W8" s="72">
        <v>-683.1</v>
      </c>
      <c r="X8" s="72">
        <v>-717.255</v>
      </c>
      <c r="Z8" s="116"/>
      <c r="AA8" s="128"/>
    </row>
    <row r="9" spans="1:35" x14ac:dyDescent="0.2">
      <c r="A9" s="59" t="s">
        <v>342</v>
      </c>
      <c r="B9" s="95">
        <v>0.8</v>
      </c>
      <c r="G9" s="116"/>
      <c r="H9" s="128"/>
      <c r="J9" s="4" t="s">
        <v>430</v>
      </c>
      <c r="K9" s="71">
        <v>0.03</v>
      </c>
      <c r="O9" s="116"/>
      <c r="P9" s="128"/>
      <c r="R9" s="15" t="s">
        <v>139</v>
      </c>
      <c r="S9" s="86">
        <f t="shared" ref="S9:X9" si="0">SUM(S6:S8)</f>
        <v>6798.6</v>
      </c>
      <c r="T9" s="86">
        <f t="shared" si="0"/>
        <v>3527.34375</v>
      </c>
      <c r="U9" s="86">
        <f t="shared" si="0"/>
        <v>3960</v>
      </c>
      <c r="V9" s="86">
        <f t="shared" si="0"/>
        <v>4554</v>
      </c>
      <c r="W9" s="86">
        <f t="shared" si="0"/>
        <v>5009.3999999999996</v>
      </c>
      <c r="X9" s="86">
        <f t="shared" si="0"/>
        <v>5259.8699999999963</v>
      </c>
      <c r="Z9" s="116"/>
      <c r="AA9" s="128"/>
      <c r="AD9" t="s">
        <v>210</v>
      </c>
      <c r="AE9">
        <v>115</v>
      </c>
    </row>
    <row r="10" spans="1:35" x14ac:dyDescent="0.2">
      <c r="A10" s="59" t="s">
        <v>40</v>
      </c>
      <c r="B10" s="60">
        <v>0.04</v>
      </c>
      <c r="C10" s="1"/>
      <c r="D10" s="1"/>
      <c r="E10" s="1"/>
      <c r="G10" s="116"/>
      <c r="H10" s="128"/>
      <c r="O10" s="116"/>
      <c r="P10" s="128"/>
      <c r="R10" t="s">
        <v>140</v>
      </c>
      <c r="S10" s="72">
        <v>-240</v>
      </c>
      <c r="T10" s="72">
        <f>-$S$57*S20</f>
        <v>-431.21999999999997</v>
      </c>
      <c r="U10" s="72">
        <f>-$S$57*T20</f>
        <v>-489.375</v>
      </c>
      <c r="V10" s="72">
        <f>-$S$57*U20</f>
        <v>-544.31999999999994</v>
      </c>
      <c r="W10" s="72">
        <f>-$S$57*V20</f>
        <v>-573.63149999999996</v>
      </c>
      <c r="X10" s="72">
        <f>-$S$57*W20</f>
        <v>-586.09979999999996</v>
      </c>
      <c r="Z10" s="116"/>
      <c r="AA10" s="128"/>
      <c r="AD10" t="s">
        <v>211</v>
      </c>
      <c r="AE10">
        <v>45</v>
      </c>
    </row>
    <row r="11" spans="1:35" x14ac:dyDescent="0.2">
      <c r="A11" s="61" t="s">
        <v>345</v>
      </c>
      <c r="B11" s="153">
        <v>0.05</v>
      </c>
      <c r="C11" s="1"/>
      <c r="D11" s="1"/>
      <c r="E11" s="1"/>
      <c r="R11" s="15" t="s">
        <v>105</v>
      </c>
      <c r="S11" s="86">
        <f t="shared" ref="S11:X11" si="1">SUM(S9:S10)</f>
        <v>6558.6</v>
      </c>
      <c r="T11" s="86">
        <f t="shared" si="1"/>
        <v>3096.1237500000002</v>
      </c>
      <c r="U11" s="86">
        <f t="shared" si="1"/>
        <v>3470.625</v>
      </c>
      <c r="V11" s="86">
        <f t="shared" si="1"/>
        <v>4009.6800000000003</v>
      </c>
      <c r="W11" s="86">
        <f t="shared" si="1"/>
        <v>4435.7685000000001</v>
      </c>
      <c r="X11" s="86">
        <f t="shared" si="1"/>
        <v>4673.7701999999963</v>
      </c>
    </row>
    <row r="12" spans="1:35" x14ac:dyDescent="0.2">
      <c r="G12" s="115"/>
      <c r="H12" s="127"/>
      <c r="J12" s="4" t="s">
        <v>85</v>
      </c>
      <c r="K12" s="69">
        <f>1-(K7/K5)</f>
        <v>0.5</v>
      </c>
      <c r="O12" s="115"/>
      <c r="P12" s="127"/>
      <c r="R12" t="s">
        <v>106</v>
      </c>
      <c r="S12" s="72">
        <v>-1311.7</v>
      </c>
      <c r="T12" s="72">
        <f>-$S$56*T11</f>
        <v>-619.22475000000009</v>
      </c>
      <c r="U12" s="72">
        <f>-$S$56*U11</f>
        <v>-694.125</v>
      </c>
      <c r="V12" s="72">
        <f>-$S$56*V11</f>
        <v>-801.93600000000015</v>
      </c>
      <c r="W12" s="72">
        <f>-$S$56*W11</f>
        <v>-887.15370000000007</v>
      </c>
      <c r="X12" s="72">
        <f>-$S$56*X11</f>
        <v>-934.75403999999935</v>
      </c>
      <c r="Z12" s="115"/>
      <c r="AA12" s="127"/>
    </row>
    <row r="13" spans="1:35" x14ac:dyDescent="0.2">
      <c r="A13" s="9" t="s">
        <v>344</v>
      </c>
      <c r="G13" s="117"/>
      <c r="H13" s="129"/>
      <c r="O13" s="117"/>
      <c r="P13" s="129"/>
      <c r="R13" s="42" t="s">
        <v>108</v>
      </c>
      <c r="S13" s="86">
        <f>S11+S12</f>
        <v>5246.9000000000005</v>
      </c>
      <c r="T13" s="86">
        <f>SUM(T11:T12)</f>
        <v>2476.8990000000003</v>
      </c>
      <c r="U13" s="86">
        <f>SUM(U11:U12)</f>
        <v>2776.5</v>
      </c>
      <c r="V13" s="86">
        <f>SUM(V11:V12)</f>
        <v>3207.7440000000001</v>
      </c>
      <c r="W13" s="86">
        <f>SUM(W11:W12)</f>
        <v>3548.6148000000003</v>
      </c>
      <c r="X13" s="86">
        <f>SUM(X11:X12)</f>
        <v>3739.0161599999969</v>
      </c>
      <c r="Z13" s="117"/>
      <c r="AA13" s="129"/>
      <c r="AE13" s="28" t="s">
        <v>99</v>
      </c>
      <c r="AF13" s="28" t="s">
        <v>131</v>
      </c>
      <c r="AG13" s="28" t="s">
        <v>132</v>
      </c>
      <c r="AH13" s="28" t="s">
        <v>133</v>
      </c>
      <c r="AI13" s="28" t="s">
        <v>134</v>
      </c>
    </row>
    <row r="14" spans="1:35" x14ac:dyDescent="0.2">
      <c r="A14" t="s">
        <v>343</v>
      </c>
      <c r="B14" s="167">
        <f>B11+(B9*B10)</f>
        <v>8.2000000000000003E-2</v>
      </c>
      <c r="C14" s="167"/>
      <c r="D14" s="167"/>
      <c r="E14" s="167"/>
      <c r="G14" s="117"/>
      <c r="H14" s="129"/>
      <c r="K14" s="3">
        <v>2020</v>
      </c>
      <c r="L14" s="3">
        <v>2021</v>
      </c>
      <c r="M14" s="3">
        <v>2022</v>
      </c>
      <c r="N14" s="3" t="s">
        <v>429</v>
      </c>
      <c r="O14" s="117"/>
      <c r="P14" s="129"/>
      <c r="R14" s="87"/>
      <c r="S14" s="83"/>
      <c r="T14" s="83"/>
      <c r="U14" s="83"/>
      <c r="V14" s="83"/>
      <c r="W14" s="83"/>
      <c r="X14" s="83"/>
      <c r="Z14" s="117"/>
      <c r="AA14" s="129"/>
      <c r="AC14" t="s">
        <v>232</v>
      </c>
      <c r="AD14" t="s">
        <v>101</v>
      </c>
      <c r="AE14" s="28">
        <v>160</v>
      </c>
      <c r="AF14" s="105">
        <f>AE14*(1+AE4)</f>
        <v>179.20000000000002</v>
      </c>
      <c r="AG14" s="105">
        <f>AF14*(1+AE4)</f>
        <v>200.70400000000004</v>
      </c>
      <c r="AH14" s="105">
        <f>AG14*(1+AE4)</f>
        <v>224.78848000000005</v>
      </c>
      <c r="AI14" s="105">
        <f>AH14*(1+AE4)</f>
        <v>251.76309760000007</v>
      </c>
    </row>
    <row r="15" spans="1:35" x14ac:dyDescent="0.2">
      <c r="G15" s="117"/>
      <c r="H15" s="129"/>
      <c r="J15" t="s">
        <v>122</v>
      </c>
      <c r="K15" s="3"/>
      <c r="L15" s="72">
        <f>K5</f>
        <v>40</v>
      </c>
      <c r="M15" s="72">
        <f>K6</f>
        <v>60</v>
      </c>
      <c r="N15" s="3"/>
      <c r="O15" s="117"/>
      <c r="P15" s="129"/>
      <c r="R15" s="37" t="s">
        <v>141</v>
      </c>
      <c r="S15" s="82" t="s">
        <v>142</v>
      </c>
      <c r="T15" s="82" t="s">
        <v>131</v>
      </c>
      <c r="U15" s="82" t="s">
        <v>132</v>
      </c>
      <c r="V15" s="82" t="s">
        <v>133</v>
      </c>
      <c r="W15" s="82" t="s">
        <v>134</v>
      </c>
      <c r="X15" s="82" t="s">
        <v>135</v>
      </c>
      <c r="Z15" s="117"/>
      <c r="AA15" s="129"/>
      <c r="AC15" t="s">
        <v>233</v>
      </c>
      <c r="AD15" t="s">
        <v>231</v>
      </c>
      <c r="AE15" s="28"/>
      <c r="AF15" s="105">
        <f>AE14*AE5</f>
        <v>32</v>
      </c>
      <c r="AG15" s="105">
        <f>AF14*AE5</f>
        <v>35.840000000000003</v>
      </c>
      <c r="AH15" s="105">
        <f>AG14*AE5</f>
        <v>40.140800000000013</v>
      </c>
      <c r="AI15" s="105">
        <f>AH14*AE5</f>
        <v>44.957696000000013</v>
      </c>
    </row>
    <row r="16" spans="1:35" x14ac:dyDescent="0.2">
      <c r="A16" s="9" t="s">
        <v>346</v>
      </c>
      <c r="G16" s="117"/>
      <c r="H16" s="129"/>
      <c r="J16" t="s">
        <v>123</v>
      </c>
      <c r="K16" s="72">
        <f>K4</f>
        <v>130</v>
      </c>
      <c r="L16" s="3">
        <f>K16+(L15*K12)</f>
        <v>150</v>
      </c>
      <c r="M16" s="3">
        <f>L16+(M15*K12)</f>
        <v>180</v>
      </c>
      <c r="N16" s="3"/>
      <c r="O16" s="117"/>
      <c r="P16" s="129"/>
      <c r="R16" t="s">
        <v>166</v>
      </c>
      <c r="S16" s="72">
        <v>9000</v>
      </c>
      <c r="T16" s="72">
        <v>10800</v>
      </c>
      <c r="U16" s="72">
        <v>12420</v>
      </c>
      <c r="V16" s="72">
        <v>13662</v>
      </c>
      <c r="W16" s="72">
        <v>14345.1</v>
      </c>
      <c r="X16" s="72">
        <v>15062.355000000003</v>
      </c>
      <c r="Z16" s="117"/>
      <c r="AA16" s="129"/>
      <c r="AD16" t="s">
        <v>212</v>
      </c>
      <c r="AF16" s="105">
        <f>AF15-(AE14*AE6)</f>
        <v>14.399999999999999</v>
      </c>
      <c r="AG16" s="105">
        <f>AG15-(AF14*AE6)</f>
        <v>16.128</v>
      </c>
      <c r="AH16" s="105">
        <f>AH15-(AG14*AE6)</f>
        <v>18.06336000000001</v>
      </c>
      <c r="AI16" s="105">
        <f>AI15-(AH14*AE6)</f>
        <v>20.230963200000009</v>
      </c>
    </row>
    <row r="17" spans="1:35" x14ac:dyDescent="0.2">
      <c r="A17" t="s">
        <v>347</v>
      </c>
      <c r="B17" s="168" t="s">
        <v>99</v>
      </c>
      <c r="C17" s="168" t="s">
        <v>131</v>
      </c>
      <c r="D17" s="168" t="s">
        <v>132</v>
      </c>
      <c r="E17" s="168" t="s">
        <v>133</v>
      </c>
      <c r="F17" s="168" t="s">
        <v>134</v>
      </c>
      <c r="G17" s="117"/>
      <c r="H17" s="129"/>
      <c r="J17" t="s">
        <v>124</v>
      </c>
      <c r="K17" s="3"/>
      <c r="L17" s="73">
        <f>L15-(K8*K16)</f>
        <v>21.799999999999997</v>
      </c>
      <c r="M17" s="73">
        <f>M15-(K8*L16)</f>
        <v>39</v>
      </c>
      <c r="N17" s="73">
        <f>(M17*(1+K9))</f>
        <v>40.17</v>
      </c>
      <c r="O17" s="117"/>
      <c r="P17" s="129"/>
      <c r="R17" t="s">
        <v>143</v>
      </c>
      <c r="S17" s="72">
        <v>2400</v>
      </c>
      <c r="T17" s="72">
        <v>3000</v>
      </c>
      <c r="U17" s="72">
        <v>3600</v>
      </c>
      <c r="V17" s="72">
        <v>4000</v>
      </c>
      <c r="W17" s="72">
        <v>4554</v>
      </c>
      <c r="X17" s="72">
        <v>4781.7</v>
      </c>
      <c r="Z17" s="117"/>
      <c r="AA17" s="129"/>
    </row>
    <row r="18" spans="1:35" x14ac:dyDescent="0.2">
      <c r="B18" s="168">
        <f>B5</f>
        <v>15</v>
      </c>
      <c r="C18" s="169">
        <f>B18*(1+$B$6)</f>
        <v>17.25</v>
      </c>
      <c r="D18" s="169">
        <f>C18*(1+$B$6)</f>
        <v>19.837499999999999</v>
      </c>
      <c r="E18" s="169">
        <f>D18*(1+$B$6)</f>
        <v>22.813124999999996</v>
      </c>
      <c r="F18" s="169">
        <f>E18*(1+$B$6)</f>
        <v>26.235093749999994</v>
      </c>
      <c r="G18" s="118"/>
      <c r="H18" s="130"/>
      <c r="J18" s="57" t="s">
        <v>125</v>
      </c>
      <c r="K18" s="74">
        <f>K16</f>
        <v>130</v>
      </c>
      <c r="L18" s="75">
        <f>L17</f>
        <v>21.799999999999997</v>
      </c>
      <c r="M18" s="75">
        <f>M17</f>
        <v>39</v>
      </c>
      <c r="N18" s="75">
        <f>N17</f>
        <v>40.17</v>
      </c>
      <c r="O18" s="118"/>
      <c r="P18" s="130"/>
      <c r="R18" s="42" t="s">
        <v>144</v>
      </c>
      <c r="S18" s="86">
        <f>S16+S17</f>
        <v>11400</v>
      </c>
      <c r="T18" s="86">
        <f>SUM(T16:T17)</f>
        <v>13800</v>
      </c>
      <c r="U18" s="86">
        <f>SUM(U16:U17)</f>
        <v>16020</v>
      </c>
      <c r="V18" s="86">
        <f>SUM(V16:V17)</f>
        <v>17662</v>
      </c>
      <c r="W18" s="86">
        <f>SUM(W16:W17)</f>
        <v>18899.099999999999</v>
      </c>
      <c r="X18" s="86">
        <f>SUM(X16:X17)</f>
        <v>19844.055000000004</v>
      </c>
      <c r="Z18" s="118"/>
      <c r="AA18" s="130"/>
    </row>
    <row r="19" spans="1:35" ht="13.5" thickBot="1" x14ac:dyDescent="0.25">
      <c r="G19" s="119"/>
      <c r="H19" s="131"/>
      <c r="J19" s="76" t="s">
        <v>4</v>
      </c>
      <c r="K19" s="76">
        <f>K18/(1+K8)^0</f>
        <v>130</v>
      </c>
      <c r="L19" s="77">
        <f>L18/(1+K8)^1</f>
        <v>19.122807017543856</v>
      </c>
      <c r="M19" s="77">
        <f>M18/(1+K8)^2</f>
        <v>30.009233610341635</v>
      </c>
      <c r="N19" s="77">
        <f>(N18/(K8-K9))/(1+K8)^2</f>
        <v>280.99555107865348</v>
      </c>
      <c r="O19" s="119"/>
      <c r="P19" s="131"/>
      <c r="R19" s="39" t="s">
        <v>145</v>
      </c>
      <c r="S19" s="72">
        <f>S18-S20-S21</f>
        <v>3900.5</v>
      </c>
      <c r="T19" s="72">
        <f>T18-T21-T20</f>
        <v>4893.75</v>
      </c>
      <c r="U19" s="72">
        <f>U18-U21-U20</f>
        <v>6048</v>
      </c>
      <c r="V19" s="72">
        <f>V18-V21-V20</f>
        <v>7066.4750000000004</v>
      </c>
      <c r="W19" s="72">
        <f>W18-W21-W20</f>
        <v>7992.2699999999986</v>
      </c>
      <c r="X19" s="72">
        <f>X18-X21-X20</f>
        <v>8391.8835000000017</v>
      </c>
      <c r="Z19" s="119"/>
      <c r="AA19" s="131"/>
      <c r="AD19" t="s">
        <v>151</v>
      </c>
      <c r="AI19" s="25">
        <f>(AI16)/(AE6-AE7)</f>
        <v>269.7461760000001</v>
      </c>
    </row>
    <row r="20" spans="1:35" ht="14.25" thickTop="1" thickBot="1" x14ac:dyDescent="0.25">
      <c r="A20" s="9" t="s">
        <v>348</v>
      </c>
      <c r="G20" s="120"/>
      <c r="H20" s="132"/>
      <c r="J20" s="78" t="s">
        <v>127</v>
      </c>
      <c r="K20" s="79">
        <f>SUM(K19:N19)</f>
        <v>460.12759170653896</v>
      </c>
      <c r="O20" s="120"/>
      <c r="P20" s="132"/>
      <c r="R20" t="s">
        <v>146</v>
      </c>
      <c r="S20" s="72">
        <v>7187</v>
      </c>
      <c r="T20" s="72">
        <v>8156.25</v>
      </c>
      <c r="U20" s="72">
        <v>9072</v>
      </c>
      <c r="V20" s="72">
        <v>9560.5249999999996</v>
      </c>
      <c r="W20" s="72">
        <v>9768.33</v>
      </c>
      <c r="X20" s="72">
        <v>10256.746500000003</v>
      </c>
      <c r="Z20" s="120"/>
      <c r="AA20" s="132"/>
    </row>
    <row r="21" spans="1:35" x14ac:dyDescent="0.2">
      <c r="A21" t="s">
        <v>349</v>
      </c>
      <c r="B21" s="168" t="s">
        <v>353</v>
      </c>
      <c r="C21" s="168" t="s">
        <v>350</v>
      </c>
      <c r="D21" s="168" t="s">
        <v>351</v>
      </c>
      <c r="E21" s="168" t="s">
        <v>352</v>
      </c>
      <c r="G21" s="120"/>
      <c r="H21" s="132"/>
      <c r="O21" s="120"/>
      <c r="P21" s="132"/>
      <c r="R21" t="s">
        <v>147</v>
      </c>
      <c r="S21" s="72">
        <v>312.5</v>
      </c>
      <c r="T21" s="72">
        <v>750</v>
      </c>
      <c r="U21" s="72">
        <v>900</v>
      </c>
      <c r="V21" s="72">
        <v>1035</v>
      </c>
      <c r="W21" s="72">
        <v>1138.5</v>
      </c>
      <c r="X21" s="72">
        <v>1195.425</v>
      </c>
      <c r="Z21" s="120"/>
      <c r="AA21" s="132"/>
      <c r="AD21" s="220" t="s">
        <v>437</v>
      </c>
      <c r="AE21" s="106">
        <f>NPV(AE6,AF16:AH16)</f>
        <v>39.270592725669424</v>
      </c>
    </row>
    <row r="22" spans="1:35" x14ac:dyDescent="0.2">
      <c r="B22" s="170">
        <f>B4</f>
        <v>100</v>
      </c>
      <c r="C22" s="170">
        <f>B22+(C18*(1-$B$8))</f>
        <v>113.8</v>
      </c>
      <c r="D22" s="170">
        <f>C22+(D18*(1-$B$8))</f>
        <v>129.66999999999999</v>
      </c>
      <c r="E22" s="170">
        <f>D22+(E18*(1-$B$8))</f>
        <v>147.92049999999998</v>
      </c>
      <c r="G22" s="120"/>
      <c r="H22" s="132"/>
      <c r="O22" s="120"/>
      <c r="P22" s="132"/>
      <c r="R22" s="42" t="s">
        <v>54</v>
      </c>
      <c r="S22" s="86">
        <f t="shared" ref="S22:X22" si="2">SUM(S19:S21)</f>
        <v>11400</v>
      </c>
      <c r="T22" s="86">
        <f t="shared" si="2"/>
        <v>13800</v>
      </c>
      <c r="U22" s="86">
        <f t="shared" si="2"/>
        <v>16020</v>
      </c>
      <c r="V22" s="86">
        <f t="shared" si="2"/>
        <v>17662</v>
      </c>
      <c r="W22" s="86">
        <f t="shared" si="2"/>
        <v>18899.099999999999</v>
      </c>
      <c r="X22" s="86">
        <f t="shared" si="2"/>
        <v>19844.055000000004</v>
      </c>
      <c r="Z22" s="120"/>
      <c r="AA22" s="132"/>
      <c r="AD22" t="s">
        <v>169</v>
      </c>
      <c r="AE22" s="25">
        <f>AI19*(1+AE6)^-3</f>
        <v>197.23607903008929</v>
      </c>
    </row>
    <row r="23" spans="1:35" x14ac:dyDescent="0.2">
      <c r="AD23" t="s">
        <v>101</v>
      </c>
      <c r="AE23">
        <f>AE9+AE10</f>
        <v>160</v>
      </c>
    </row>
    <row r="24" spans="1:35" x14ac:dyDescent="0.2">
      <c r="A24" s="9" t="s">
        <v>354</v>
      </c>
      <c r="C24" s="168" t="s">
        <v>356</v>
      </c>
      <c r="D24" s="168" t="s">
        <v>357</v>
      </c>
      <c r="E24" s="168" t="s">
        <v>358</v>
      </c>
      <c r="F24" s="168" t="s">
        <v>359</v>
      </c>
      <c r="G24" s="115"/>
      <c r="H24" s="127"/>
      <c r="J24" s="155" t="s">
        <v>419</v>
      </c>
      <c r="O24" s="115"/>
      <c r="P24" s="127"/>
      <c r="R24" s="9" t="s">
        <v>228</v>
      </c>
      <c r="Z24" s="115"/>
      <c r="AA24" s="127"/>
    </row>
    <row r="25" spans="1:35" x14ac:dyDescent="0.2">
      <c r="A25" t="s">
        <v>355</v>
      </c>
      <c r="C25" s="170">
        <f>C18-($B$14*B22)</f>
        <v>9.0499999999999989</v>
      </c>
      <c r="D25" s="170">
        <f>D18-($B$14*C22)</f>
        <v>10.505899999999999</v>
      </c>
      <c r="E25" s="170">
        <f>E18-($B$14*D22)</f>
        <v>12.180184999999996</v>
      </c>
      <c r="F25" s="170">
        <f>F18-($B$14*E22)</f>
        <v>14.105612749999995</v>
      </c>
      <c r="G25" s="120"/>
      <c r="H25" s="132"/>
      <c r="J25" s="155" t="s">
        <v>431</v>
      </c>
      <c r="O25" s="120"/>
      <c r="P25" s="132"/>
      <c r="T25">
        <v>1</v>
      </c>
      <c r="U25">
        <f>+T25+1</f>
        <v>2</v>
      </c>
      <c r="V25">
        <f>+U25+1</f>
        <v>3</v>
      </c>
      <c r="W25">
        <f>+V25+1</f>
        <v>4</v>
      </c>
      <c r="X25">
        <f>+W25+1</f>
        <v>5</v>
      </c>
      <c r="Z25" s="120"/>
      <c r="AA25" s="132"/>
      <c r="AD25" s="9" t="s">
        <v>160</v>
      </c>
      <c r="AE25" s="106">
        <f>SUM(AE21:AE23)</f>
        <v>396.5066717557587</v>
      </c>
    </row>
    <row r="26" spans="1:35" x14ac:dyDescent="0.2">
      <c r="G26" s="121"/>
      <c r="H26" s="133"/>
      <c r="J26" t="s">
        <v>474</v>
      </c>
      <c r="K26">
        <f>M17/(K8-K9)/(1+K8)</f>
        <v>311.00478468899513</v>
      </c>
      <c r="O26" s="121"/>
      <c r="P26" s="133"/>
      <c r="R26" s="41" t="s">
        <v>148</v>
      </c>
      <c r="S26" s="54"/>
      <c r="T26" s="52" t="s">
        <v>131</v>
      </c>
      <c r="U26" s="52" t="s">
        <v>132</v>
      </c>
      <c r="V26" s="52" t="s">
        <v>133</v>
      </c>
      <c r="W26" s="52" t="s">
        <v>134</v>
      </c>
      <c r="X26" s="52" t="s">
        <v>135</v>
      </c>
      <c r="Y26" s="52" t="s">
        <v>136</v>
      </c>
      <c r="Z26" s="121"/>
      <c r="AA26" s="133"/>
      <c r="AD26" t="s">
        <v>211</v>
      </c>
      <c r="AE26">
        <f>-AE10</f>
        <v>-45</v>
      </c>
    </row>
    <row r="27" spans="1:35" x14ac:dyDescent="0.2">
      <c r="A27" s="9" t="s">
        <v>360</v>
      </c>
      <c r="B27" s="168" t="s">
        <v>0</v>
      </c>
      <c r="C27" s="5">
        <v>1</v>
      </c>
      <c r="D27" s="5">
        <v>2</v>
      </c>
      <c r="E27" s="5">
        <v>3</v>
      </c>
      <c r="F27" s="5">
        <v>4</v>
      </c>
      <c r="G27" s="120"/>
      <c r="H27" s="132"/>
      <c r="J27" t="s">
        <v>432</v>
      </c>
      <c r="K27" s="12">
        <f>+L19</f>
        <v>19.122807017543856</v>
      </c>
      <c r="O27" s="120"/>
      <c r="P27" s="132"/>
      <c r="R27" s="39" t="s">
        <v>149</v>
      </c>
      <c r="S27" s="9"/>
      <c r="T27" s="89">
        <f>T13-(S4*S19)</f>
        <v>1852.8190000000004</v>
      </c>
      <c r="U27" s="89">
        <f>U13-(S4*T19)</f>
        <v>1993.5</v>
      </c>
      <c r="V27" s="89">
        <f>V13-(S4*U19)</f>
        <v>2240.0640000000003</v>
      </c>
      <c r="W27" s="89">
        <f>W13-(S4*V19)</f>
        <v>2417.9787999999999</v>
      </c>
      <c r="X27" s="89">
        <f>X13-(S4*W19)</f>
        <v>2460.2529599999971</v>
      </c>
      <c r="Y27" s="89">
        <f>(1+S3)*X27</f>
        <v>2583.265607999997</v>
      </c>
      <c r="Z27" s="120"/>
      <c r="AA27" s="132"/>
      <c r="AD27" s="9" t="s">
        <v>154</v>
      </c>
      <c r="AE27" s="91">
        <f>SUM(AE25:AE26)</f>
        <v>351.5066717557587</v>
      </c>
    </row>
    <row r="28" spans="1:35" x14ac:dyDescent="0.2">
      <c r="A28" t="s">
        <v>473</v>
      </c>
      <c r="C28" s="170">
        <f>C25/(1+$B$14)^C27</f>
        <v>8.3641404805914963</v>
      </c>
      <c r="D28" s="170">
        <f>D25/(1+$B$14)^D27</f>
        <v>8.9738486611703507</v>
      </c>
      <c r="E28" s="170">
        <f>E25/(1+$B$14)^E27</f>
        <v>9.6155050958213586</v>
      </c>
      <c r="F28" s="170">
        <f>F25/(1+$B$14)^F27</f>
        <v>10.291600363589819</v>
      </c>
      <c r="G28" s="120"/>
      <c r="H28" s="132"/>
      <c r="J28" t="s">
        <v>423</v>
      </c>
      <c r="K28" s="12">
        <f>+K26+K27</f>
        <v>330.12759170653896</v>
      </c>
      <c r="O28" s="120"/>
      <c r="P28" s="132"/>
      <c r="R28" s="39" t="s">
        <v>150</v>
      </c>
      <c r="S28" s="12">
        <f>NPV(S4,T27:X27)</f>
        <v>7020.6538147728816</v>
      </c>
      <c r="T28">
        <f>+T27/1.16^T25</f>
        <v>1597.2577586206901</v>
      </c>
      <c r="U28">
        <f>+U27/1.16^U25</f>
        <v>1481.4952437574318</v>
      </c>
      <c r="V28">
        <f>+V27/1.16^V25</f>
        <v>1435.1141908237323</v>
      </c>
      <c r="W28">
        <f>+W27/1.16^W25</f>
        <v>1335.4281661037128</v>
      </c>
      <c r="X28">
        <f>+X27/1.16^X25</f>
        <v>1171.3584554673157</v>
      </c>
      <c r="Z28" s="120"/>
      <c r="AA28" s="132"/>
    </row>
    <row r="29" spans="1:35" x14ac:dyDescent="0.2">
      <c r="A29" t="s">
        <v>5</v>
      </c>
      <c r="B29" s="170">
        <f>SUM(C28:F28)</f>
        <v>37.245094601173022</v>
      </c>
      <c r="J29" t="s">
        <v>102</v>
      </c>
      <c r="K29">
        <f>+K18</f>
        <v>130</v>
      </c>
      <c r="R29" s="39" t="s">
        <v>151</v>
      </c>
      <c r="S29" s="12">
        <f>Y27/(S4-S3)</f>
        <v>23484.232799999972</v>
      </c>
      <c r="Y29" s="89"/>
    </row>
    <row r="30" spans="1:35" x14ac:dyDescent="0.2">
      <c r="G30" s="115"/>
      <c r="H30" s="127"/>
      <c r="J30" t="s">
        <v>424</v>
      </c>
      <c r="K30" s="14">
        <f>+K27+K26+K18</f>
        <v>460.12759170653896</v>
      </c>
      <c r="O30" s="115"/>
      <c r="P30" s="127"/>
      <c r="R30" s="39" t="s">
        <v>152</v>
      </c>
      <c r="S30" s="12">
        <f>S29*(1+S4)^-5</f>
        <v>11181.148893097105</v>
      </c>
      <c r="U30" s="12"/>
      <c r="Z30" s="115"/>
      <c r="AA30" s="127"/>
    </row>
    <row r="31" spans="1:35" x14ac:dyDescent="0.2">
      <c r="A31" s="9" t="s">
        <v>361</v>
      </c>
      <c r="G31" s="117"/>
      <c r="H31" s="129"/>
      <c r="O31" s="117"/>
      <c r="P31" s="129"/>
      <c r="R31" s="39" t="s">
        <v>153</v>
      </c>
      <c r="S31" s="12">
        <f>S19</f>
        <v>3900.5</v>
      </c>
      <c r="Z31" s="117"/>
      <c r="AA31" s="129"/>
    </row>
    <row r="32" spans="1:35" x14ac:dyDescent="0.2">
      <c r="A32" t="s">
        <v>362</v>
      </c>
      <c r="B32" s="170">
        <f>(F25*(1+B7))/(B14-B7)</f>
        <v>279.39963716346142</v>
      </c>
      <c r="G32" s="117"/>
      <c r="H32" s="129"/>
      <c r="O32" s="117"/>
      <c r="P32" s="129"/>
      <c r="R32" s="38" t="s">
        <v>436</v>
      </c>
      <c r="S32" s="143">
        <f>S28+S30+S31</f>
        <v>22102.302707869985</v>
      </c>
      <c r="Z32" s="117"/>
      <c r="AA32" s="129"/>
    </row>
    <row r="33" spans="1:27" x14ac:dyDescent="0.2">
      <c r="A33" t="s">
        <v>272</v>
      </c>
      <c r="B33" s="170">
        <f>B32/(1+B14)^4</f>
        <v>203.85285335572138</v>
      </c>
      <c r="G33" s="122"/>
      <c r="H33" s="134"/>
      <c r="O33" s="122"/>
      <c r="P33" s="134"/>
      <c r="R33" s="39"/>
      <c r="S33" s="91"/>
      <c r="Z33" s="122"/>
      <c r="AA33" s="134"/>
    </row>
    <row r="34" spans="1:27" x14ac:dyDescent="0.2">
      <c r="G34" s="117"/>
      <c r="H34" s="129"/>
      <c r="O34" s="117"/>
      <c r="P34" s="129"/>
      <c r="R34" s="141" t="s">
        <v>167</v>
      </c>
      <c r="S34" s="4">
        <v>200</v>
      </c>
      <c r="Z34" s="117"/>
      <c r="AA34" s="129"/>
    </row>
    <row r="35" spans="1:27" x14ac:dyDescent="0.2">
      <c r="A35" t="s">
        <v>424</v>
      </c>
      <c r="B35" s="12">
        <f>+B33+B29+B22</f>
        <v>341.09794795689442</v>
      </c>
      <c r="G35" s="117"/>
      <c r="H35" s="129"/>
      <c r="O35" s="117"/>
      <c r="P35" s="129"/>
      <c r="R35" s="55" t="s">
        <v>155</v>
      </c>
      <c r="S35" s="142">
        <f>S32/S34</f>
        <v>110.51151353934992</v>
      </c>
      <c r="Z35" s="117"/>
      <c r="AA35" s="129"/>
    </row>
    <row r="36" spans="1:27" x14ac:dyDescent="0.2">
      <c r="G36" s="123"/>
      <c r="H36" s="135"/>
      <c r="O36" s="123"/>
      <c r="P36" s="135"/>
      <c r="Z36" s="123"/>
      <c r="AA36" s="135"/>
    </row>
    <row r="37" spans="1:27" x14ac:dyDescent="0.2">
      <c r="A37" s="155" t="s">
        <v>419</v>
      </c>
      <c r="G37" s="115"/>
      <c r="H37" s="127"/>
      <c r="O37" s="115"/>
      <c r="P37" s="127"/>
      <c r="Z37" s="115"/>
      <c r="AA37" s="127"/>
    </row>
    <row r="38" spans="1:27" x14ac:dyDescent="0.2">
      <c r="A38" s="155" t="s">
        <v>420</v>
      </c>
      <c r="G38" s="124"/>
      <c r="H38" s="136"/>
      <c r="O38" s="124"/>
      <c r="P38" s="136"/>
      <c r="R38" s="155" t="s">
        <v>419</v>
      </c>
      <c r="Z38" s="124"/>
      <c r="AA38" s="136"/>
    </row>
    <row r="39" spans="1:27" x14ac:dyDescent="0.2">
      <c r="A39" t="s">
        <v>421</v>
      </c>
      <c r="B39" s="89">
        <f>+F25/(B14-B7)/(1+B14)^E27</f>
        <v>214.1444537193112</v>
      </c>
      <c r="G39" s="116"/>
      <c r="H39" s="128"/>
      <c r="O39" s="116"/>
      <c r="P39" s="128"/>
      <c r="R39" s="155" t="s">
        <v>434</v>
      </c>
      <c r="Z39" s="116"/>
      <c r="AA39" s="128"/>
    </row>
    <row r="40" spans="1:27" x14ac:dyDescent="0.2">
      <c r="A40" t="s">
        <v>422</v>
      </c>
      <c r="B40" s="12">
        <f>+SUM(C28:E28)</f>
        <v>26.953494237583204</v>
      </c>
      <c r="G40" s="125"/>
      <c r="H40" s="137"/>
      <c r="O40" s="125"/>
      <c r="P40" s="137"/>
      <c r="R40" t="s">
        <v>433</v>
      </c>
      <c r="S40">
        <f>X27/(S4-S3)/(1+S4)^4</f>
        <v>12352.507348564419</v>
      </c>
      <c r="T40">
        <f>+X27/0.11</f>
        <v>22365.935999999972</v>
      </c>
      <c r="Z40" s="125"/>
      <c r="AA40" s="137"/>
    </row>
    <row r="41" spans="1:27" x14ac:dyDescent="0.2">
      <c r="A41" t="s">
        <v>423</v>
      </c>
      <c r="B41" s="12">
        <f>+B39+B40</f>
        <v>241.09794795689442</v>
      </c>
      <c r="G41" s="125"/>
      <c r="H41" s="137"/>
      <c r="O41" s="125"/>
      <c r="P41" s="137"/>
      <c r="R41" t="s">
        <v>475</v>
      </c>
      <c r="S41" s="12">
        <f>+NPV(S4,T27:W27)</f>
        <v>5849.2953593055663</v>
      </c>
      <c r="Z41" s="125"/>
      <c r="AA41" s="137"/>
    </row>
    <row r="42" spans="1:27" x14ac:dyDescent="0.2">
      <c r="R42" t="s">
        <v>102</v>
      </c>
      <c r="S42" s="12">
        <f>+S19</f>
        <v>3900.5</v>
      </c>
    </row>
    <row r="43" spans="1:27" x14ac:dyDescent="0.2">
      <c r="A43" t="s">
        <v>424</v>
      </c>
      <c r="B43" s="12">
        <f>+B40+B39+B22</f>
        <v>341.09794795689442</v>
      </c>
    </row>
    <row r="44" spans="1:27" x14ac:dyDescent="0.2">
      <c r="R44" s="9" t="s">
        <v>436</v>
      </c>
      <c r="S44" s="226">
        <f>+S41+S40+S42</f>
        <v>22102.302707869985</v>
      </c>
    </row>
    <row r="45" spans="1:27" x14ac:dyDescent="0.2">
      <c r="R45" s="9"/>
      <c r="S45" s="9"/>
    </row>
    <row r="46" spans="1:27" x14ac:dyDescent="0.2">
      <c r="R46" s="9" t="s">
        <v>424</v>
      </c>
      <c r="S46" s="227">
        <f>+S44/S34</f>
        <v>110.51151353934992</v>
      </c>
    </row>
    <row r="55" spans="18:24" x14ac:dyDescent="0.2">
      <c r="R55" s="9" t="s">
        <v>229</v>
      </c>
    </row>
    <row r="56" spans="18:24" x14ac:dyDescent="0.2">
      <c r="R56" t="s">
        <v>59</v>
      </c>
      <c r="S56" s="1">
        <v>0.2</v>
      </c>
    </row>
    <row r="57" spans="18:24" x14ac:dyDescent="0.2">
      <c r="R57" t="s">
        <v>129</v>
      </c>
      <c r="S57" s="1">
        <v>0.06</v>
      </c>
    </row>
    <row r="59" spans="18:24" x14ac:dyDescent="0.2">
      <c r="R59" s="57"/>
      <c r="S59" s="74" t="s">
        <v>161</v>
      </c>
      <c r="T59" s="74" t="s">
        <v>78</v>
      </c>
      <c r="U59" s="74" t="s">
        <v>162</v>
      </c>
    </row>
    <row r="60" spans="18:24" x14ac:dyDescent="0.2">
      <c r="R60" t="s">
        <v>102</v>
      </c>
      <c r="S60" s="72">
        <f>+S32</f>
        <v>22102.302707869985</v>
      </c>
      <c r="T60" s="92">
        <f>S60/($S$60+$S$61)</f>
        <v>0.75462031064096091</v>
      </c>
      <c r="U60" s="93">
        <f>S4</f>
        <v>0.16</v>
      </c>
    </row>
    <row r="61" spans="18:24" x14ac:dyDescent="0.2">
      <c r="R61" t="s">
        <v>163</v>
      </c>
      <c r="S61" s="72">
        <f>S20</f>
        <v>7187</v>
      </c>
      <c r="T61" s="92">
        <f>S61/($S$60+$S$61)</f>
        <v>0.24537968935903912</v>
      </c>
      <c r="U61" s="93">
        <f>S57*(1-S56)</f>
        <v>4.8000000000000001E-2</v>
      </c>
    </row>
    <row r="62" spans="18:24" x14ac:dyDescent="0.2">
      <c r="R62" s="54" t="s">
        <v>164</v>
      </c>
      <c r="S62" s="54"/>
      <c r="T62" s="54"/>
      <c r="U62" s="94">
        <f>T60*U60+T61*U61</f>
        <v>0.13251747479178763</v>
      </c>
    </row>
    <row r="64" spans="18:24" x14ac:dyDescent="0.2">
      <c r="S64" s="3" t="s">
        <v>99</v>
      </c>
      <c r="T64" s="3" t="s">
        <v>131</v>
      </c>
      <c r="U64" s="3" t="s">
        <v>132</v>
      </c>
      <c r="V64" s="3" t="s">
        <v>133</v>
      </c>
      <c r="W64" s="3" t="s">
        <v>134</v>
      </c>
      <c r="X64" s="3" t="s">
        <v>135</v>
      </c>
    </row>
    <row r="65" spans="18:24" x14ac:dyDescent="0.2">
      <c r="R65" s="97" t="s">
        <v>156</v>
      </c>
      <c r="S65" s="86">
        <f>S9*(1-S56)</f>
        <v>5438.880000000001</v>
      </c>
      <c r="T65" s="86">
        <f>T9*(1-S56)</f>
        <v>2821.875</v>
      </c>
      <c r="U65" s="86">
        <f>U9*(1-S56)</f>
        <v>3168</v>
      </c>
      <c r="V65" s="86">
        <f>V9*(1-S56)</f>
        <v>3643.2000000000003</v>
      </c>
      <c r="W65" s="86">
        <f>W9*(1-S56)</f>
        <v>4007.52</v>
      </c>
      <c r="X65" s="86">
        <f>X9*(1-S56)</f>
        <v>4207.895999999997</v>
      </c>
    </row>
    <row r="66" spans="18:24" x14ac:dyDescent="0.2">
      <c r="R66" s="97" t="s">
        <v>157</v>
      </c>
      <c r="S66" s="86">
        <f t="shared" ref="S66:X66" si="3">S22-S21</f>
        <v>11087.5</v>
      </c>
      <c r="T66" s="86">
        <f t="shared" si="3"/>
        <v>13050</v>
      </c>
      <c r="U66" s="86">
        <f t="shared" si="3"/>
        <v>15120</v>
      </c>
      <c r="V66" s="86">
        <f t="shared" si="3"/>
        <v>16627</v>
      </c>
      <c r="W66" s="86">
        <f t="shared" si="3"/>
        <v>17760.599999999999</v>
      </c>
      <c r="X66" s="86">
        <f t="shared" si="3"/>
        <v>18648.630000000005</v>
      </c>
    </row>
    <row r="67" spans="18:24" x14ac:dyDescent="0.2">
      <c r="R67" t="s">
        <v>158</v>
      </c>
      <c r="T67" s="86">
        <f>T65-(S66*U62)</f>
        <v>1352.5874982460546</v>
      </c>
      <c r="U67" s="86">
        <f>U65-(T66*U62)</f>
        <v>1438.6469539671714</v>
      </c>
      <c r="V67" s="86">
        <f>V65-(U66*U62)</f>
        <v>1639.5357811481713</v>
      </c>
      <c r="W67" s="86">
        <f>W65-(V66*U62)</f>
        <v>1804.1519466369468</v>
      </c>
      <c r="X67" s="86">
        <f>X65-(W66*U62)</f>
        <v>1854.3061372129737</v>
      </c>
    </row>
    <row r="70" spans="18:24" x14ac:dyDescent="0.2">
      <c r="R70" t="s">
        <v>168</v>
      </c>
      <c r="S70" s="12">
        <f>NPV(U62,T67:X67)</f>
        <v>5536.7281418964967</v>
      </c>
    </row>
    <row r="71" spans="18:24" x14ac:dyDescent="0.2">
      <c r="R71" t="s">
        <v>151</v>
      </c>
      <c r="S71" s="12">
        <f>((1+S3)*X67)/(U62-S3)</f>
        <v>23595.262082200745</v>
      </c>
    </row>
    <row r="72" spans="18:24" x14ac:dyDescent="0.2">
      <c r="R72" t="s">
        <v>169</v>
      </c>
      <c r="S72" s="12">
        <f>S71*(1+U62)^-5</f>
        <v>12664.855702342848</v>
      </c>
    </row>
    <row r="73" spans="18:24" x14ac:dyDescent="0.2">
      <c r="R73" t="s">
        <v>210</v>
      </c>
      <c r="S73" s="12">
        <f>S19</f>
        <v>3900.5</v>
      </c>
    </row>
    <row r="74" spans="18:24" x14ac:dyDescent="0.2">
      <c r="R74" t="s">
        <v>159</v>
      </c>
      <c r="S74" s="12">
        <f>S20</f>
        <v>7187</v>
      </c>
    </row>
    <row r="75" spans="18:24" x14ac:dyDescent="0.2">
      <c r="R75" s="9" t="s">
        <v>160</v>
      </c>
      <c r="S75" s="144">
        <f>S70+S72+S73+S74</f>
        <v>29289.083844239343</v>
      </c>
    </row>
    <row r="76" spans="18:24" x14ac:dyDescent="0.2">
      <c r="R76" t="s">
        <v>159</v>
      </c>
      <c r="S76" s="12">
        <f>+S74</f>
        <v>7187</v>
      </c>
    </row>
    <row r="77" spans="18:24" x14ac:dyDescent="0.2">
      <c r="R77" s="38" t="s">
        <v>154</v>
      </c>
      <c r="S77" s="143">
        <f>S75-S76</f>
        <v>22102.083844239343</v>
      </c>
    </row>
    <row r="82" spans="18:19" x14ac:dyDescent="0.2">
      <c r="R82" s="155" t="s">
        <v>419</v>
      </c>
    </row>
    <row r="83" spans="18:19" x14ac:dyDescent="0.2">
      <c r="R83" s="155" t="s">
        <v>434</v>
      </c>
    </row>
    <row r="84" spans="18:19" x14ac:dyDescent="0.2">
      <c r="R84" t="s">
        <v>433</v>
      </c>
      <c r="S84" s="89">
        <f>X67/(U62-S3)/(1+U62)^4</f>
        <v>13660.162284399707</v>
      </c>
    </row>
    <row r="85" spans="18:19" x14ac:dyDescent="0.2">
      <c r="R85" t="s">
        <v>475</v>
      </c>
      <c r="S85" s="12">
        <f>+NPV(U62,T67:W67)</f>
        <v>4541.4215598396358</v>
      </c>
    </row>
    <row r="86" spans="18:19" x14ac:dyDescent="0.2">
      <c r="R86" t="s">
        <v>435</v>
      </c>
      <c r="S86" s="12">
        <f>+S73</f>
        <v>3900.5</v>
      </c>
    </row>
    <row r="87" spans="18:19" x14ac:dyDescent="0.2">
      <c r="R87" t="s">
        <v>159</v>
      </c>
      <c r="S87" s="12">
        <f>+S74</f>
        <v>7187</v>
      </c>
    </row>
    <row r="88" spans="18:19" x14ac:dyDescent="0.2">
      <c r="R88" s="9" t="s">
        <v>160</v>
      </c>
      <c r="S88" s="144">
        <f>+SUM(S84:S87)</f>
        <v>29289.083844239343</v>
      </c>
    </row>
    <row r="89" spans="18:19" x14ac:dyDescent="0.2">
      <c r="R89" t="s">
        <v>159</v>
      </c>
      <c r="S89" s="12">
        <f>+S76</f>
        <v>7187</v>
      </c>
    </row>
    <row r="90" spans="18:19" x14ac:dyDescent="0.2">
      <c r="R90" s="38" t="s">
        <v>154</v>
      </c>
      <c r="S90" s="143">
        <f>+S88-S89</f>
        <v>22102.083844239343</v>
      </c>
    </row>
    <row r="92" spans="18:19" x14ac:dyDescent="0.2">
      <c r="R92" s="9" t="s">
        <v>424</v>
      </c>
      <c r="S92" s="165">
        <f>S90/S34</f>
        <v>110.51041922119671</v>
      </c>
    </row>
  </sheetData>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29"/>
  <sheetViews>
    <sheetView zoomScale="120" zoomScaleNormal="120" workbookViewId="0">
      <selection activeCell="L32" sqref="L32"/>
    </sheetView>
  </sheetViews>
  <sheetFormatPr defaultColWidth="9.140625" defaultRowHeight="12.75" x14ac:dyDescent="0.2"/>
  <cols>
    <col min="1" max="1" width="10" style="107" customWidth="1"/>
    <col min="2" max="6" width="9.140625" style="107"/>
    <col min="7" max="7" width="10.140625" style="107" bestFit="1" customWidth="1"/>
    <col min="8" max="16384" width="9.140625" style="107"/>
  </cols>
  <sheetData>
    <row r="2" spans="7:19" ht="23.25" x14ac:dyDescent="0.35">
      <c r="G2" s="110"/>
      <c r="K2" s="318"/>
    </row>
    <row r="3" spans="7:19" ht="23.25" x14ac:dyDescent="0.35">
      <c r="K3" s="319" t="s">
        <v>532</v>
      </c>
    </row>
    <row r="5" spans="7:19" ht="26.25" x14ac:dyDescent="0.4">
      <c r="G5" s="108"/>
    </row>
    <row r="6" spans="7:19" ht="20.25" x14ac:dyDescent="0.3">
      <c r="K6" s="317" t="s">
        <v>534</v>
      </c>
    </row>
    <row r="7" spans="7:19" x14ac:dyDescent="0.2">
      <c r="G7" s="109"/>
      <c r="K7" s="316" t="s">
        <v>533</v>
      </c>
    </row>
    <row r="11" spans="7:19" ht="20.25" x14ac:dyDescent="0.3">
      <c r="K11" s="317" t="s">
        <v>538</v>
      </c>
    </row>
    <row r="13" spans="7:19" x14ac:dyDescent="0.2">
      <c r="K13" s="109" t="s">
        <v>535</v>
      </c>
      <c r="N13" s="315" t="s">
        <v>536</v>
      </c>
      <c r="S13" s="316" t="s">
        <v>537</v>
      </c>
    </row>
    <row r="17" spans="1:19" ht="20.25" x14ac:dyDescent="0.3">
      <c r="K17" s="317" t="s">
        <v>562</v>
      </c>
    </row>
    <row r="18" spans="1:19" x14ac:dyDescent="0.2">
      <c r="O18" s="314"/>
    </row>
    <row r="19" spans="1:19" x14ac:dyDescent="0.2">
      <c r="K19" s="109" t="s">
        <v>563</v>
      </c>
      <c r="O19" s="314"/>
      <c r="S19" s="316" t="s">
        <v>564</v>
      </c>
    </row>
    <row r="20" spans="1:19" x14ac:dyDescent="0.2">
      <c r="K20" s="331" t="s">
        <v>565</v>
      </c>
      <c r="O20" s="314"/>
    </row>
    <row r="22" spans="1:19" x14ac:dyDescent="0.2">
      <c r="A22" s="109" t="s">
        <v>364</v>
      </c>
    </row>
    <row r="23" spans="1:19" x14ac:dyDescent="0.2">
      <c r="A23" s="315" t="s">
        <v>551</v>
      </c>
    </row>
    <row r="25" spans="1:19" x14ac:dyDescent="0.2">
      <c r="A25" s="315" t="s">
        <v>552</v>
      </c>
    </row>
    <row r="27" spans="1:19" x14ac:dyDescent="0.2">
      <c r="A27" s="329" t="s">
        <v>561</v>
      </c>
      <c r="B27" s="330"/>
      <c r="C27" s="330"/>
      <c r="D27" s="330"/>
      <c r="E27" s="330"/>
      <c r="F27" s="330"/>
      <c r="G27" s="330"/>
      <c r="H27" s="330"/>
      <c r="I27" s="330"/>
      <c r="J27" s="330"/>
      <c r="K27" s="333"/>
    </row>
    <row r="29" spans="1:19" x14ac:dyDescent="0.2">
      <c r="A29" s="107" t="s">
        <v>567</v>
      </c>
      <c r="G29" s="328" t="s">
        <v>560</v>
      </c>
      <c r="H29" s="328"/>
      <c r="I29" s="328"/>
    </row>
  </sheetData>
  <phoneticPr fontId="0" type="noConversion"/>
  <hyperlinks>
    <hyperlink ref="K7" r:id="rId1" xr:uid="{EED13510-34F6-446B-981E-11186E244A6D}"/>
    <hyperlink ref="S13" r:id="rId2" xr:uid="{000168A6-9766-47D0-A249-35E07EC26155}"/>
    <hyperlink ref="S19" r:id="rId3" xr:uid="{13CEC2D6-FC4F-419B-B499-045E26899C7D}"/>
  </hyperlinks>
  <pageMargins left="0.75" right="0.75" top="1" bottom="1" header="0.5" footer="0.5"/>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1"/>
  <sheetViews>
    <sheetView zoomScale="126" zoomScaleNormal="126" workbookViewId="0">
      <selection activeCell="J26" sqref="J26"/>
    </sheetView>
  </sheetViews>
  <sheetFormatPr defaultColWidth="8.85546875" defaultRowHeight="12.75" x14ac:dyDescent="0.2"/>
  <cols>
    <col min="1" max="1" width="25.85546875" bestFit="1" customWidth="1"/>
    <col min="2" max="2" width="8.28515625" customWidth="1"/>
    <col min="3" max="3" width="1.7109375" style="114" customWidth="1"/>
    <col min="4" max="4" width="1.7109375" style="126" customWidth="1"/>
    <col min="5" max="5" width="1.7109375" style="114" customWidth="1"/>
    <col min="6" max="6" width="14.42578125" bestFit="1" customWidth="1"/>
    <col min="7" max="7" width="7.140625" bestFit="1" customWidth="1"/>
    <col min="12" max="12" width="1.7109375" style="114" customWidth="1"/>
    <col min="13" max="13" width="1.7109375" style="126" customWidth="1"/>
    <col min="14" max="14" width="1.7109375" style="114" customWidth="1"/>
    <col min="15" max="15" width="12" bestFit="1" customWidth="1"/>
    <col min="17" max="17" width="1.7109375" style="114" customWidth="1"/>
    <col min="18" max="18" width="1.7109375" style="126" customWidth="1"/>
    <col min="19" max="19" width="1.7109375" style="114" customWidth="1"/>
    <col min="20" max="20" width="33.140625" bestFit="1" customWidth="1"/>
    <col min="21" max="21" width="7.42578125" bestFit="1" customWidth="1"/>
    <col min="22" max="25" width="5.7109375" customWidth="1"/>
    <col min="26" max="27" width="6.42578125" bestFit="1" customWidth="1"/>
  </cols>
  <sheetData>
    <row r="1" spans="1:27" ht="14.25" thickTop="1" thickBot="1" x14ac:dyDescent="0.25">
      <c r="A1" s="112" t="s">
        <v>216</v>
      </c>
      <c r="F1" s="112" t="s">
        <v>213</v>
      </c>
      <c r="O1" s="112" t="s">
        <v>214</v>
      </c>
      <c r="T1" s="112" t="s">
        <v>215</v>
      </c>
    </row>
    <row r="2" spans="1:27" ht="13.5" thickTop="1" x14ac:dyDescent="0.2">
      <c r="A2" s="111" t="s">
        <v>3</v>
      </c>
      <c r="B2" s="8">
        <v>0.15</v>
      </c>
      <c r="T2" s="4" t="s">
        <v>3</v>
      </c>
      <c r="U2" s="8">
        <v>0.12</v>
      </c>
    </row>
    <row r="3" spans="1:27" x14ac:dyDescent="0.2">
      <c r="A3" s="9" t="s">
        <v>7</v>
      </c>
      <c r="C3" s="115"/>
      <c r="D3" s="127"/>
      <c r="F3" s="4" t="s">
        <v>3</v>
      </c>
      <c r="G3" s="8">
        <v>0.12</v>
      </c>
      <c r="L3" s="115"/>
      <c r="M3" s="127"/>
      <c r="O3" t="s">
        <v>1</v>
      </c>
      <c r="P3">
        <v>600</v>
      </c>
      <c r="Q3" s="115"/>
      <c r="R3" s="127"/>
      <c r="T3" s="4" t="s">
        <v>0</v>
      </c>
      <c r="U3" s="4">
        <v>0</v>
      </c>
      <c r="V3" s="4">
        <v>1</v>
      </c>
      <c r="W3" s="4">
        <v>2</v>
      </c>
      <c r="X3" s="4">
        <v>3</v>
      </c>
      <c r="Y3" s="4">
        <v>4</v>
      </c>
      <c r="Z3" s="4">
        <v>5</v>
      </c>
      <c r="AA3" s="4">
        <v>6</v>
      </c>
    </row>
    <row r="4" spans="1:27" x14ac:dyDescent="0.2">
      <c r="A4" s="4" t="s">
        <v>8</v>
      </c>
      <c r="B4" s="10">
        <v>8000</v>
      </c>
      <c r="C4" s="116"/>
      <c r="D4" s="128"/>
      <c r="F4" s="4" t="s">
        <v>0</v>
      </c>
      <c r="G4" s="5">
        <v>1</v>
      </c>
      <c r="H4" s="5">
        <v>2</v>
      </c>
      <c r="I4" s="5">
        <v>3</v>
      </c>
      <c r="J4" s="5">
        <v>4</v>
      </c>
      <c r="K4" s="5">
        <v>5</v>
      </c>
      <c r="L4" s="116"/>
      <c r="M4" s="128"/>
      <c r="O4" t="s">
        <v>3</v>
      </c>
      <c r="P4" s="1">
        <v>0.15</v>
      </c>
      <c r="Q4" s="116"/>
      <c r="R4" s="128"/>
      <c r="T4" s="4" t="s">
        <v>18</v>
      </c>
      <c r="U4" s="4"/>
      <c r="V4" s="4">
        <v>0</v>
      </c>
      <c r="W4" s="4">
        <v>0</v>
      </c>
      <c r="X4" s="4">
        <v>0</v>
      </c>
      <c r="Y4" s="4">
        <v>0</v>
      </c>
      <c r="Z4" s="4">
        <v>0</v>
      </c>
      <c r="AA4" s="10">
        <v>10000</v>
      </c>
    </row>
    <row r="5" spans="1:27" x14ac:dyDescent="0.2">
      <c r="A5" s="4" t="s">
        <v>9</v>
      </c>
      <c r="B5" s="4">
        <v>10</v>
      </c>
      <c r="C5" s="116"/>
      <c r="D5" s="128"/>
      <c r="F5" s="4" t="s">
        <v>1</v>
      </c>
      <c r="G5" s="6">
        <v>1200</v>
      </c>
      <c r="H5" s="6">
        <v>1250</v>
      </c>
      <c r="I5" s="6">
        <v>1300</v>
      </c>
      <c r="J5" s="6">
        <v>1350</v>
      </c>
      <c r="K5" s="6">
        <v>1400</v>
      </c>
      <c r="L5" s="116"/>
      <c r="M5" s="128"/>
      <c r="O5" t="s">
        <v>4</v>
      </c>
      <c r="P5" s="6">
        <f>P3/P4</f>
        <v>4000</v>
      </c>
      <c r="Q5" s="116"/>
      <c r="R5" s="128"/>
      <c r="T5" t="s">
        <v>19</v>
      </c>
      <c r="Z5" s="2">
        <f>AA4/U2</f>
        <v>83333.333333333343</v>
      </c>
    </row>
    <row r="6" spans="1:27" x14ac:dyDescent="0.2">
      <c r="A6" s="4" t="s">
        <v>10</v>
      </c>
      <c r="B6" s="10">
        <f>B4*(1+B2)^B5</f>
        <v>32364.461885663255</v>
      </c>
      <c r="C6" s="116"/>
      <c r="D6" s="128"/>
      <c r="F6" s="4" t="s">
        <v>2</v>
      </c>
      <c r="G6" s="7">
        <f>PV($G$3,G4,,-1)</f>
        <v>0.89285714285714279</v>
      </c>
      <c r="H6" s="7">
        <f>PV($G$3,H4,,-1)</f>
        <v>0.79719387755102034</v>
      </c>
      <c r="I6" s="7">
        <f>PV($G$3,I4,,-1)</f>
        <v>0.71178024781341087</v>
      </c>
      <c r="J6" s="7">
        <f>PV($G$3,J4,,-1)</f>
        <v>0.63551807840483121</v>
      </c>
      <c r="K6" s="7">
        <f>PV($G$3,K4,,-1)</f>
        <v>0.56742685571859919</v>
      </c>
      <c r="L6" s="116"/>
      <c r="M6" s="128"/>
      <c r="Q6" s="116"/>
      <c r="R6" s="128"/>
      <c r="T6" t="s">
        <v>363</v>
      </c>
      <c r="U6" s="2">
        <f>PV(U2,Z3,,-Z5)</f>
        <v>47285.571309883271</v>
      </c>
    </row>
    <row r="7" spans="1:27" x14ac:dyDescent="0.2">
      <c r="A7" s="4" t="s">
        <v>11</v>
      </c>
      <c r="B7" s="10">
        <f>FV(B2,B5,,-B4)</f>
        <v>32364.461885663255</v>
      </c>
      <c r="C7" s="116"/>
      <c r="D7" s="128"/>
      <c r="F7" s="4" t="s">
        <v>4</v>
      </c>
      <c r="G7" s="6">
        <f>G5/(1+$G$3)^G4</f>
        <v>1071.4285714285713</v>
      </c>
      <c r="H7" s="6">
        <f>H5/(1+$G$3)^H4</f>
        <v>996.49234693877531</v>
      </c>
      <c r="I7" s="6">
        <f>I5/(1+$G$3)^I4</f>
        <v>925.31432215743416</v>
      </c>
      <c r="J7" s="6">
        <f>J5/(1+$G$3)^J4</f>
        <v>857.94940584652204</v>
      </c>
      <c r="K7" s="6">
        <f>K5/(1+$G$3)^K4</f>
        <v>794.39759800603895</v>
      </c>
      <c r="L7" s="116"/>
      <c r="M7" s="128"/>
      <c r="Q7" s="116"/>
      <c r="R7" s="128"/>
    </row>
    <row r="8" spans="1:27" x14ac:dyDescent="0.2">
      <c r="B8" s="2"/>
      <c r="C8" s="116"/>
      <c r="D8" s="128"/>
      <c r="F8" s="4" t="s">
        <v>5</v>
      </c>
      <c r="G8" s="6">
        <f>SUM(G7:K7)</f>
        <v>4645.5822443773413</v>
      </c>
      <c r="H8" s="3"/>
      <c r="I8" s="3"/>
      <c r="J8" s="3"/>
      <c r="K8" s="3"/>
      <c r="L8" s="116"/>
      <c r="M8" s="128"/>
      <c r="Q8" s="116"/>
      <c r="R8" s="128"/>
    </row>
    <row r="9" spans="1:27" x14ac:dyDescent="0.2">
      <c r="A9" s="9" t="s">
        <v>12</v>
      </c>
      <c r="C9" s="116"/>
      <c r="D9" s="128"/>
      <c r="L9" s="116"/>
      <c r="M9" s="128"/>
      <c r="Q9" s="116"/>
      <c r="R9" s="128"/>
      <c r="T9" s="9" t="s">
        <v>566</v>
      </c>
      <c r="U9" s="165">
        <f>(10000/0.12)/1.12^5</f>
        <v>47285.571309883271</v>
      </c>
      <c r="V9" s="9" t="str">
        <f ca="1">_xlfn.FORMULATEXT(U9)</f>
        <v>=(10000/0,12)/1,12^5</v>
      </c>
      <c r="W9" s="9"/>
      <c r="X9" s="9"/>
      <c r="Y9" s="9"/>
      <c r="Z9" s="9"/>
    </row>
    <row r="10" spans="1:27" x14ac:dyDescent="0.2">
      <c r="A10" s="4" t="s">
        <v>8</v>
      </c>
      <c r="B10" s="10">
        <v>15000</v>
      </c>
      <c r="C10" s="116"/>
      <c r="D10" s="128"/>
      <c r="F10" s="4" t="s">
        <v>3</v>
      </c>
      <c r="G10" s="8">
        <v>0.2</v>
      </c>
      <c r="L10" s="116"/>
      <c r="M10" s="128"/>
      <c r="Q10" s="116"/>
      <c r="R10" s="128"/>
    </row>
    <row r="11" spans="1:27" x14ac:dyDescent="0.2">
      <c r="A11" s="4" t="s">
        <v>9</v>
      </c>
      <c r="B11" s="4">
        <v>10</v>
      </c>
      <c r="F11" s="4" t="s">
        <v>0</v>
      </c>
      <c r="G11" s="5">
        <v>1</v>
      </c>
      <c r="H11" s="5">
        <v>2</v>
      </c>
      <c r="I11" s="5">
        <v>3</v>
      </c>
      <c r="J11" s="5">
        <v>4</v>
      </c>
      <c r="K11" s="5">
        <v>5</v>
      </c>
    </row>
    <row r="12" spans="1:27" x14ac:dyDescent="0.2">
      <c r="A12" s="4" t="s">
        <v>13</v>
      </c>
      <c r="B12" s="10">
        <f>B10/(1+B2)^B11</f>
        <v>3707.770591827988</v>
      </c>
      <c r="C12" s="115"/>
      <c r="D12" s="127"/>
      <c r="F12" s="4" t="s">
        <v>1</v>
      </c>
      <c r="G12" s="6">
        <v>1200</v>
      </c>
      <c r="H12" s="6">
        <v>1250</v>
      </c>
      <c r="I12" s="6">
        <v>1300</v>
      </c>
      <c r="J12" s="6">
        <v>1350</v>
      </c>
      <c r="K12" s="6">
        <v>1400</v>
      </c>
      <c r="L12" s="115"/>
      <c r="M12" s="127"/>
      <c r="Q12" s="115"/>
      <c r="R12" s="127"/>
    </row>
    <row r="13" spans="1:27" x14ac:dyDescent="0.2">
      <c r="A13" s="4" t="s">
        <v>14</v>
      </c>
      <c r="B13" s="10">
        <f>PV(B2,B11,,-B10)</f>
        <v>3707.770591827988</v>
      </c>
      <c r="C13" s="117"/>
      <c r="D13" s="129"/>
      <c r="F13" s="4" t="s">
        <v>2</v>
      </c>
      <c r="G13" s="7">
        <f>PV($G$10,G11,,-1)</f>
        <v>0.83333333333333337</v>
      </c>
      <c r="H13" s="7">
        <f>PV($G$10,H11,,-1)</f>
        <v>0.69444444444444442</v>
      </c>
      <c r="I13" s="7">
        <f>PV($G$10,I11,,-1)</f>
        <v>0.57870370370370372</v>
      </c>
      <c r="J13" s="7">
        <f>PV($G$10,J11,,-1)</f>
        <v>0.48225308641975312</v>
      </c>
      <c r="K13" s="7">
        <f>PV($G$10,K11,,-1)</f>
        <v>0.4018775720164609</v>
      </c>
      <c r="L13" s="117"/>
      <c r="M13" s="129"/>
      <c r="Q13" s="117"/>
      <c r="R13" s="129"/>
    </row>
    <row r="14" spans="1:27" x14ac:dyDescent="0.2">
      <c r="C14" s="117"/>
      <c r="D14" s="129"/>
      <c r="F14" s="4" t="s">
        <v>4</v>
      </c>
      <c r="G14" s="6">
        <f>G12*G13</f>
        <v>1000</v>
      </c>
      <c r="H14" s="6">
        <f>H12*H13</f>
        <v>868.05555555555554</v>
      </c>
      <c r="I14" s="6">
        <f>I12*I13</f>
        <v>752.31481481481478</v>
      </c>
      <c r="J14" s="6">
        <f>J12*J13</f>
        <v>651.04166666666674</v>
      </c>
      <c r="K14" s="6">
        <f>K12*K13</f>
        <v>562.6286008230453</v>
      </c>
      <c r="L14" s="117"/>
      <c r="M14" s="129"/>
      <c r="Q14" s="117"/>
      <c r="R14" s="129"/>
    </row>
    <row r="15" spans="1:27" x14ac:dyDescent="0.2">
      <c r="A15" s="9" t="s">
        <v>15</v>
      </c>
      <c r="C15" s="117"/>
      <c r="D15" s="129"/>
      <c r="F15" s="4" t="s">
        <v>5</v>
      </c>
      <c r="G15" s="6">
        <f>SUM(G14:K14)</f>
        <v>3834.0406378600828</v>
      </c>
      <c r="H15" s="3"/>
      <c r="I15" s="3"/>
      <c r="J15" s="3"/>
      <c r="K15" s="3"/>
      <c r="L15" s="117"/>
      <c r="M15" s="129"/>
      <c r="Q15" s="117"/>
      <c r="R15" s="129"/>
    </row>
    <row r="16" spans="1:27" x14ac:dyDescent="0.2">
      <c r="A16" s="4" t="s">
        <v>8</v>
      </c>
      <c r="B16" s="10">
        <v>10000</v>
      </c>
      <c r="C16" s="117"/>
      <c r="D16" s="129"/>
      <c r="L16" s="117"/>
      <c r="M16" s="129"/>
      <c r="Q16" s="117"/>
      <c r="R16" s="129"/>
    </row>
    <row r="17" spans="1:18" x14ac:dyDescent="0.2">
      <c r="A17" s="4" t="s">
        <v>9</v>
      </c>
      <c r="B17" s="4">
        <v>5</v>
      </c>
      <c r="C17" s="117"/>
      <c r="D17" s="129"/>
      <c r="F17" s="4" t="s">
        <v>6</v>
      </c>
      <c r="G17" s="10">
        <f>G15-G8</f>
        <v>-811.54160651725851</v>
      </c>
      <c r="L17" s="117"/>
      <c r="M17" s="129"/>
      <c r="Q17" s="117"/>
      <c r="R17" s="129"/>
    </row>
    <row r="18" spans="1:18" x14ac:dyDescent="0.2">
      <c r="A18" s="4" t="s">
        <v>13</v>
      </c>
      <c r="B18" s="10">
        <f>B16/(1+B2)^B17</f>
        <v>4971.767352982899</v>
      </c>
      <c r="C18" s="118"/>
      <c r="D18" s="130"/>
      <c r="L18" s="118"/>
      <c r="M18" s="130"/>
      <c r="Q18" s="118"/>
      <c r="R18" s="130"/>
    </row>
    <row r="19" spans="1:18" x14ac:dyDescent="0.2">
      <c r="A19" s="4" t="s">
        <v>14</v>
      </c>
      <c r="B19" s="10">
        <f>PV(B2,B17,,-B16)</f>
        <v>4971.767352982899</v>
      </c>
      <c r="C19" s="119"/>
      <c r="D19" s="131"/>
      <c r="F19" s="220" t="s">
        <v>577</v>
      </c>
      <c r="L19" s="119"/>
      <c r="M19" s="131"/>
      <c r="Q19" s="119"/>
      <c r="R19" s="131"/>
    </row>
    <row r="20" spans="1:18" x14ac:dyDescent="0.2">
      <c r="C20" s="120"/>
      <c r="D20" s="132"/>
      <c r="L20" s="120"/>
      <c r="M20" s="132"/>
      <c r="Q20" s="120"/>
      <c r="R20" s="132"/>
    </row>
    <row r="21" spans="1:18" x14ac:dyDescent="0.2">
      <c r="A21" s="9" t="s">
        <v>16</v>
      </c>
      <c r="C21" s="120"/>
      <c r="D21" s="132"/>
      <c r="L21" s="120"/>
      <c r="M21" s="132"/>
      <c r="Q21" s="120"/>
      <c r="R21" s="132"/>
    </row>
    <row r="22" spans="1:18" x14ac:dyDescent="0.2">
      <c r="A22" s="4" t="s">
        <v>17</v>
      </c>
      <c r="B22" s="10">
        <v>5000</v>
      </c>
      <c r="C22" s="120"/>
      <c r="D22" s="132"/>
      <c r="L22" s="120"/>
      <c r="M22" s="132"/>
      <c r="Q22" s="120"/>
      <c r="R22" s="132"/>
    </row>
    <row r="23" spans="1:18" x14ac:dyDescent="0.2">
      <c r="A23" s="4" t="s">
        <v>9</v>
      </c>
      <c r="B23" s="4">
        <v>8</v>
      </c>
    </row>
    <row r="24" spans="1:18" x14ac:dyDescent="0.2">
      <c r="A24" s="4" t="s">
        <v>13</v>
      </c>
      <c r="B24" s="10">
        <f>B22*((1-(1+B2)^-B23)/B2)</f>
        <v>22436.607538461085</v>
      </c>
      <c r="C24" s="115"/>
      <c r="D24" s="127"/>
      <c r="L24" s="115"/>
      <c r="M24" s="127"/>
      <c r="Q24" s="115"/>
      <c r="R24" s="127"/>
    </row>
    <row r="25" spans="1:18" x14ac:dyDescent="0.2">
      <c r="A25" s="4" t="s">
        <v>14</v>
      </c>
      <c r="B25" s="10">
        <f>PV(B2,B23,-B22)</f>
        <v>22436.607538461081</v>
      </c>
      <c r="C25" s="120"/>
      <c r="D25" s="132"/>
      <c r="L25" s="120"/>
      <c r="M25" s="132"/>
      <c r="Q25" s="120"/>
      <c r="R25" s="132"/>
    </row>
    <row r="26" spans="1:18" x14ac:dyDescent="0.2">
      <c r="C26" s="121"/>
      <c r="D26" s="133"/>
      <c r="L26" s="121"/>
      <c r="M26" s="133"/>
      <c r="Q26" s="121"/>
      <c r="R26" s="133"/>
    </row>
    <row r="27" spans="1:18" x14ac:dyDescent="0.2">
      <c r="C27" s="120"/>
      <c r="D27" s="132"/>
      <c r="L27" s="120"/>
      <c r="M27" s="132"/>
      <c r="Q27" s="120"/>
      <c r="R27" s="132"/>
    </row>
    <row r="28" spans="1:18" x14ac:dyDescent="0.2">
      <c r="C28" s="120"/>
      <c r="D28" s="132"/>
      <c r="L28" s="120"/>
      <c r="M28" s="132"/>
      <c r="Q28" s="120"/>
      <c r="R28" s="132"/>
    </row>
    <row r="30" spans="1:18" x14ac:dyDescent="0.2">
      <c r="C30" s="115"/>
      <c r="D30" s="127"/>
      <c r="L30" s="115"/>
      <c r="M30" s="127"/>
      <c r="Q30" s="115"/>
      <c r="R30" s="127"/>
    </row>
    <row r="31" spans="1:18" x14ac:dyDescent="0.2">
      <c r="C31" s="117"/>
      <c r="D31" s="129"/>
      <c r="L31" s="117"/>
      <c r="M31" s="129"/>
      <c r="Q31" s="117"/>
      <c r="R31" s="129"/>
    </row>
    <row r="32" spans="1:18" x14ac:dyDescent="0.2">
      <c r="C32" s="117"/>
      <c r="D32" s="129"/>
      <c r="L32" s="117"/>
      <c r="M32" s="129"/>
      <c r="Q32" s="117"/>
      <c r="R32" s="129"/>
    </row>
    <row r="33" spans="3:18" x14ac:dyDescent="0.2">
      <c r="C33" s="122"/>
      <c r="D33" s="134"/>
      <c r="L33" s="122"/>
      <c r="M33" s="134"/>
      <c r="Q33" s="122"/>
      <c r="R33" s="134"/>
    </row>
    <row r="34" spans="3:18" x14ac:dyDescent="0.2">
      <c r="C34" s="117"/>
      <c r="D34" s="129"/>
      <c r="L34" s="117"/>
      <c r="M34" s="129"/>
      <c r="Q34" s="117"/>
      <c r="R34" s="129"/>
    </row>
    <row r="35" spans="3:18" x14ac:dyDescent="0.2">
      <c r="C35" s="117"/>
      <c r="D35" s="129"/>
      <c r="L35" s="117"/>
      <c r="M35" s="129"/>
      <c r="Q35" s="117"/>
      <c r="R35" s="129"/>
    </row>
    <row r="36" spans="3:18" x14ac:dyDescent="0.2">
      <c r="C36" s="123"/>
      <c r="D36" s="135"/>
      <c r="L36" s="123"/>
      <c r="M36" s="135"/>
      <c r="Q36" s="123"/>
      <c r="R36" s="135"/>
    </row>
    <row r="37" spans="3:18" x14ac:dyDescent="0.2">
      <c r="C37" s="115"/>
      <c r="D37" s="127"/>
      <c r="L37" s="115"/>
      <c r="M37" s="127"/>
      <c r="Q37" s="115"/>
      <c r="R37" s="127"/>
    </row>
    <row r="38" spans="3:18" x14ac:dyDescent="0.2">
      <c r="C38" s="124"/>
      <c r="D38" s="136"/>
      <c r="L38" s="124"/>
      <c r="M38" s="136"/>
      <c r="Q38" s="124"/>
      <c r="R38" s="136"/>
    </row>
    <row r="39" spans="3:18" x14ac:dyDescent="0.2">
      <c r="C39" s="116"/>
      <c r="D39" s="128"/>
      <c r="L39" s="116"/>
      <c r="M39" s="128"/>
      <c r="Q39" s="116"/>
      <c r="R39" s="128"/>
    </row>
    <row r="40" spans="3:18" x14ac:dyDescent="0.2">
      <c r="C40" s="125"/>
      <c r="D40" s="137"/>
      <c r="L40" s="125"/>
      <c r="M40" s="137"/>
      <c r="Q40" s="125"/>
      <c r="R40" s="137"/>
    </row>
    <row r="41" spans="3:18" x14ac:dyDescent="0.2">
      <c r="C41" s="125"/>
      <c r="D41" s="137"/>
      <c r="L41" s="125"/>
      <c r="M41" s="137"/>
      <c r="Q41" s="125"/>
      <c r="R41" s="137"/>
    </row>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16DF2-D2E3-45E6-AC7D-DACADC56F4AB}">
  <dimension ref="A1:Y41"/>
  <sheetViews>
    <sheetView zoomScaleNormal="100" workbookViewId="0">
      <selection activeCell="AC28" sqref="AC28"/>
    </sheetView>
  </sheetViews>
  <sheetFormatPr defaultColWidth="8.85546875" defaultRowHeight="12.75" x14ac:dyDescent="0.2"/>
  <cols>
    <col min="1" max="1" width="16.42578125" bestFit="1" customWidth="1"/>
    <col min="2" max="2" width="9.42578125" customWidth="1"/>
    <col min="3" max="3" width="1.7109375" style="114" customWidth="1"/>
    <col min="4" max="4" width="1.7109375" style="126" customWidth="1"/>
    <col min="5" max="5" width="20.140625" customWidth="1"/>
    <col min="6" max="6" width="12" bestFit="1" customWidth="1"/>
    <col min="10" max="10" width="1.7109375" style="114" customWidth="1"/>
    <col min="11" max="11" width="1.7109375" style="126" customWidth="1"/>
    <col min="12" max="13" width="1.7109375" style="114" customWidth="1"/>
    <col min="14" max="14" width="18" bestFit="1" customWidth="1"/>
    <col min="16" max="16" width="1.7109375" style="114" customWidth="1"/>
    <col min="17" max="17" width="1.7109375" style="126" customWidth="1"/>
    <col min="18" max="18" width="2" customWidth="1"/>
    <col min="19" max="19" width="14.28515625" bestFit="1" customWidth="1"/>
    <col min="20" max="20" width="31.85546875" bestFit="1" customWidth="1"/>
    <col min="21" max="21" width="15.42578125" customWidth="1"/>
    <col min="22" max="22" width="1.7109375" style="114" customWidth="1"/>
    <col min="23" max="23" width="1.7109375" style="126" customWidth="1"/>
    <col min="24" max="25" width="1.7109375" style="114" customWidth="1"/>
    <col min="29" max="29" width="37.42578125" bestFit="1" customWidth="1"/>
    <col min="30" max="30" width="11.140625" bestFit="1" customWidth="1"/>
  </cols>
  <sheetData>
    <row r="1" spans="1:23" ht="14.25" thickTop="1" thickBot="1" x14ac:dyDescent="0.25">
      <c r="A1" s="112" t="s">
        <v>217</v>
      </c>
      <c r="E1" s="112" t="s">
        <v>218</v>
      </c>
      <c r="N1" s="112" t="s">
        <v>219</v>
      </c>
      <c r="R1" s="114"/>
      <c r="S1" s="112" t="s">
        <v>295</v>
      </c>
    </row>
    <row r="2" spans="1:23" ht="13.5" thickTop="1" x14ac:dyDescent="0.2">
      <c r="G2" s="88" t="s">
        <v>286</v>
      </c>
      <c r="H2" s="57"/>
      <c r="I2" s="58"/>
      <c r="R2" s="114"/>
    </row>
    <row r="3" spans="1:23" x14ac:dyDescent="0.2">
      <c r="A3" s="4" t="s">
        <v>72</v>
      </c>
      <c r="B3" s="4" t="s">
        <v>73</v>
      </c>
      <c r="C3" s="115"/>
      <c r="D3" s="127"/>
      <c r="E3" s="88" t="s">
        <v>285</v>
      </c>
      <c r="F3" s="58"/>
      <c r="G3" s="59" t="s">
        <v>287</v>
      </c>
      <c r="H3" t="s">
        <v>288</v>
      </c>
      <c r="I3" s="95"/>
      <c r="J3" s="115"/>
      <c r="K3" s="127"/>
      <c r="N3" t="s">
        <v>79</v>
      </c>
      <c r="O3" s="1">
        <v>0.1</v>
      </c>
      <c r="P3" s="115"/>
      <c r="Q3" s="127"/>
      <c r="R3" s="114"/>
      <c r="V3" s="115"/>
      <c r="W3" s="127"/>
    </row>
    <row r="4" spans="1:23" x14ac:dyDescent="0.2">
      <c r="A4" s="320" t="s">
        <v>540</v>
      </c>
      <c r="B4" s="4">
        <v>13.31</v>
      </c>
      <c r="C4" s="116"/>
      <c r="D4" s="128"/>
      <c r="E4" s="59" t="s">
        <v>282</v>
      </c>
      <c r="F4" s="162">
        <v>-20</v>
      </c>
      <c r="G4" s="160">
        <v>5</v>
      </c>
      <c r="H4" s="161">
        <v>7</v>
      </c>
      <c r="I4" s="95"/>
      <c r="J4" s="116"/>
      <c r="K4" s="128"/>
      <c r="N4" s="54" t="s">
        <v>296</v>
      </c>
      <c r="O4" s="164">
        <f>1/O3</f>
        <v>10</v>
      </c>
      <c r="P4" s="116"/>
      <c r="Q4" s="128"/>
      <c r="R4" s="114"/>
      <c r="T4" s="220" t="s">
        <v>112</v>
      </c>
      <c r="U4" s="2">
        <v>100000000</v>
      </c>
      <c r="V4" s="116"/>
      <c r="W4" s="128"/>
    </row>
    <row r="5" spans="1:23" x14ac:dyDescent="0.2">
      <c r="A5" s="4" t="s">
        <v>74</v>
      </c>
      <c r="B5" s="4">
        <v>12.8</v>
      </c>
      <c r="C5" s="116"/>
      <c r="D5" s="128"/>
      <c r="E5" s="59" t="s">
        <v>283</v>
      </c>
      <c r="F5" s="162">
        <v>-40</v>
      </c>
      <c r="G5" s="160">
        <v>1</v>
      </c>
      <c r="H5" s="161">
        <v>2</v>
      </c>
      <c r="I5" s="95"/>
      <c r="J5" s="116"/>
      <c r="K5" s="128"/>
      <c r="P5" s="116"/>
      <c r="Q5" s="128"/>
      <c r="R5" s="114"/>
      <c r="T5" s="220" t="s">
        <v>167</v>
      </c>
      <c r="U5" s="2">
        <v>1000000</v>
      </c>
      <c r="V5" s="116"/>
      <c r="W5" s="128"/>
    </row>
    <row r="6" spans="1:23" x14ac:dyDescent="0.2">
      <c r="A6" s="4" t="s">
        <v>75</v>
      </c>
      <c r="B6" s="4">
        <v>2.29</v>
      </c>
      <c r="C6" s="116"/>
      <c r="D6" s="128"/>
      <c r="E6" s="59" t="s">
        <v>284</v>
      </c>
      <c r="F6" s="162">
        <v>15</v>
      </c>
      <c r="G6" s="160">
        <v>25</v>
      </c>
      <c r="H6" s="161">
        <v>35</v>
      </c>
      <c r="I6" s="95"/>
      <c r="J6" s="116"/>
      <c r="K6" s="128"/>
      <c r="P6" s="116"/>
      <c r="Q6" s="128"/>
      <c r="R6" s="114"/>
      <c r="T6" s="220" t="s">
        <v>553</v>
      </c>
      <c r="U6">
        <v>70</v>
      </c>
      <c r="V6" s="116"/>
      <c r="W6" s="128"/>
    </row>
    <row r="7" spans="1:23" x14ac:dyDescent="0.2">
      <c r="A7" s="320" t="s">
        <v>541</v>
      </c>
      <c r="B7" s="4">
        <v>6.35</v>
      </c>
      <c r="C7" s="116"/>
      <c r="D7" s="128"/>
      <c r="E7" s="61" t="s">
        <v>289</v>
      </c>
      <c r="F7" s="163">
        <v>140</v>
      </c>
      <c r="G7" s="160">
        <v>200</v>
      </c>
      <c r="H7" s="161">
        <v>280</v>
      </c>
      <c r="I7" s="95"/>
      <c r="J7" s="116"/>
      <c r="K7" s="128"/>
      <c r="P7" s="116"/>
      <c r="Q7" s="128"/>
      <c r="R7" s="114"/>
      <c r="S7" s="220"/>
      <c r="T7" s="220" t="s">
        <v>543</v>
      </c>
      <c r="U7" s="1">
        <v>0.12</v>
      </c>
      <c r="V7" s="116"/>
      <c r="W7" s="128"/>
    </row>
    <row r="8" spans="1:23" x14ac:dyDescent="0.2">
      <c r="A8" s="320" t="s">
        <v>542</v>
      </c>
      <c r="B8" s="4">
        <v>33.72</v>
      </c>
      <c r="C8" s="116"/>
      <c r="D8" s="128"/>
      <c r="G8" s="59"/>
      <c r="I8" s="95"/>
      <c r="J8" s="116"/>
      <c r="K8" s="128"/>
      <c r="N8" s="9" t="s">
        <v>299</v>
      </c>
      <c r="P8" s="116"/>
      <c r="Q8" s="128"/>
      <c r="R8" s="114"/>
      <c r="T8" s="220" t="s">
        <v>544</v>
      </c>
      <c r="U8" s="1">
        <v>0.03</v>
      </c>
      <c r="V8" s="116"/>
      <c r="W8" s="128"/>
    </row>
    <row r="9" spans="1:23" x14ac:dyDescent="0.2">
      <c r="A9" s="4" t="s">
        <v>76</v>
      </c>
      <c r="B9" s="4">
        <v>7.89</v>
      </c>
      <c r="C9" s="116"/>
      <c r="D9" s="128"/>
      <c r="E9" s="56"/>
      <c r="F9" s="57"/>
      <c r="G9" s="56"/>
      <c r="H9" s="57"/>
      <c r="I9" s="58" t="s">
        <v>294</v>
      </c>
      <c r="J9" s="116"/>
      <c r="K9" s="128"/>
      <c r="N9" t="s">
        <v>155</v>
      </c>
      <c r="O9">
        <v>100</v>
      </c>
      <c r="P9" s="116"/>
      <c r="Q9" s="128"/>
      <c r="R9" s="114"/>
      <c r="T9" s="220"/>
      <c r="V9" s="116"/>
      <c r="W9" s="128"/>
    </row>
    <row r="10" spans="1:23" x14ac:dyDescent="0.2">
      <c r="C10" s="116"/>
      <c r="D10" s="128"/>
      <c r="E10" s="59" t="s">
        <v>290</v>
      </c>
      <c r="G10" s="59">
        <f t="shared" ref="G10:H12" si="0">G$7/G4</f>
        <v>40</v>
      </c>
      <c r="H10">
        <f t="shared" si="0"/>
        <v>40</v>
      </c>
      <c r="I10" s="95">
        <f>AVERAGE(G10:H10)</f>
        <v>40</v>
      </c>
      <c r="J10" s="116"/>
      <c r="K10" s="128"/>
      <c r="N10" t="s">
        <v>297</v>
      </c>
      <c r="O10">
        <v>10</v>
      </c>
      <c r="P10" s="116"/>
      <c r="Q10" s="128"/>
      <c r="R10" s="114"/>
      <c r="S10" s="220" t="s">
        <v>545</v>
      </c>
      <c r="T10" s="220" t="s">
        <v>548</v>
      </c>
      <c r="U10">
        <f>U6*(1+U8)</f>
        <v>72.100000000000009</v>
      </c>
      <c r="V10" s="116"/>
      <c r="W10" s="128"/>
    </row>
    <row r="11" spans="1:23" x14ac:dyDescent="0.2">
      <c r="E11" s="59" t="s">
        <v>291</v>
      </c>
      <c r="G11" s="59">
        <f t="shared" si="0"/>
        <v>200</v>
      </c>
      <c r="H11">
        <f t="shared" si="0"/>
        <v>140</v>
      </c>
      <c r="I11" s="95">
        <f>AVERAGE(G11:H11)</f>
        <v>170</v>
      </c>
      <c r="N11" s="54" t="s">
        <v>290</v>
      </c>
      <c r="O11" s="54">
        <f>O9/O10</f>
        <v>10</v>
      </c>
      <c r="R11" s="114"/>
      <c r="T11" s="321" t="s">
        <v>554</v>
      </c>
      <c r="U11" s="322">
        <f>U10/(U7-U8)</f>
        <v>801.1111111111112</v>
      </c>
    </row>
    <row r="12" spans="1:23" x14ac:dyDescent="0.2">
      <c r="A12" t="s">
        <v>77</v>
      </c>
      <c r="B12" s="25">
        <f>AVERAGE(B4:B9)</f>
        <v>12.726666666666667</v>
      </c>
      <c r="C12" s="115"/>
      <c r="D12" s="127"/>
      <c r="E12" s="61" t="s">
        <v>292</v>
      </c>
      <c r="F12" s="15"/>
      <c r="G12" s="61">
        <f t="shared" si="0"/>
        <v>8</v>
      </c>
      <c r="H12" s="15">
        <f t="shared" si="0"/>
        <v>8</v>
      </c>
      <c r="I12" s="96">
        <f>AVERAGE(G12:H12)</f>
        <v>8</v>
      </c>
      <c r="J12" s="115"/>
      <c r="K12" s="127"/>
      <c r="N12" t="s">
        <v>298</v>
      </c>
      <c r="P12" s="115"/>
      <c r="Q12" s="127"/>
      <c r="R12" s="114"/>
      <c r="T12" s="220" t="s">
        <v>556</v>
      </c>
      <c r="U12" s="2">
        <f>U11*U5</f>
        <v>801111111.11111116</v>
      </c>
      <c r="V12" s="115"/>
      <c r="W12" s="127"/>
    </row>
    <row r="13" spans="1:23" x14ac:dyDescent="0.2">
      <c r="C13" s="117"/>
      <c r="D13" s="129"/>
      <c r="J13" s="117"/>
      <c r="K13" s="129"/>
      <c r="N13" s="220" t="s">
        <v>539</v>
      </c>
      <c r="O13" s="13">
        <f>O10/O9</f>
        <v>0.1</v>
      </c>
      <c r="P13" s="117"/>
      <c r="Q13" s="129"/>
      <c r="R13" s="114"/>
      <c r="V13" s="117"/>
      <c r="W13" s="129"/>
    </row>
    <row r="14" spans="1:23" x14ac:dyDescent="0.2">
      <c r="C14" s="117"/>
      <c r="D14" s="129"/>
      <c r="E14" s="53" t="s">
        <v>293</v>
      </c>
      <c r="F14" s="159">
        <f>I12*F6</f>
        <v>120</v>
      </c>
      <c r="J14" s="117"/>
      <c r="K14" s="129"/>
      <c r="P14" s="117"/>
      <c r="Q14" s="129"/>
      <c r="R14" s="114"/>
      <c r="S14" s="220" t="s">
        <v>547</v>
      </c>
      <c r="T14" s="220" t="s">
        <v>297</v>
      </c>
      <c r="U14">
        <f>U4/U5</f>
        <v>100</v>
      </c>
      <c r="V14" s="117"/>
      <c r="W14" s="129"/>
    </row>
    <row r="15" spans="1:23" x14ac:dyDescent="0.2">
      <c r="A15" s="220" t="s">
        <v>12</v>
      </c>
      <c r="C15" s="117"/>
      <c r="D15" s="129"/>
      <c r="J15" s="117"/>
      <c r="K15" s="129"/>
      <c r="P15" s="117"/>
      <c r="Q15" s="129"/>
      <c r="T15" s="220" t="s">
        <v>546</v>
      </c>
      <c r="U15">
        <v>8.01</v>
      </c>
      <c r="V15" s="323"/>
      <c r="W15" s="129"/>
    </row>
    <row r="16" spans="1:23" x14ac:dyDescent="0.2">
      <c r="A16" t="s">
        <v>573</v>
      </c>
      <c r="C16" s="117"/>
      <c r="D16" s="129"/>
      <c r="J16" s="117"/>
      <c r="K16" s="129"/>
      <c r="P16" s="117"/>
      <c r="Q16" s="129"/>
      <c r="T16" s="220" t="s">
        <v>555</v>
      </c>
      <c r="U16">
        <f>+U14*U15</f>
        <v>801</v>
      </c>
      <c r="V16" s="323"/>
      <c r="W16" s="129"/>
    </row>
    <row r="17" spans="1:23" x14ac:dyDescent="0.2">
      <c r="A17" t="str">
        <f>A6</f>
        <v>Rottneros</v>
      </c>
      <c r="C17" s="117"/>
      <c r="D17" s="129"/>
      <c r="J17" s="117"/>
      <c r="K17" s="129"/>
      <c r="P17" s="117"/>
      <c r="Q17" s="129"/>
      <c r="T17" s="220" t="s">
        <v>556</v>
      </c>
      <c r="U17" s="2">
        <f>U16</f>
        <v>801</v>
      </c>
      <c r="V17" s="323"/>
      <c r="W17" s="129"/>
    </row>
    <row r="18" spans="1:23" x14ac:dyDescent="0.2">
      <c r="A18" t="s">
        <v>572</v>
      </c>
      <c r="C18" s="118"/>
      <c r="D18" s="130"/>
      <c r="J18" s="118"/>
      <c r="K18" s="130"/>
      <c r="P18" s="118"/>
      <c r="Q18" s="130"/>
      <c r="V18" s="118"/>
      <c r="W18" s="130"/>
    </row>
    <row r="19" spans="1:23" x14ac:dyDescent="0.2">
      <c r="A19" t="str">
        <f>A8</f>
        <v>SCA</v>
      </c>
      <c r="C19" s="119"/>
      <c r="D19" s="131"/>
      <c r="J19" s="119"/>
      <c r="K19" s="131"/>
      <c r="P19" s="119"/>
      <c r="Q19" s="131"/>
      <c r="V19" s="119"/>
      <c r="W19" s="131"/>
    </row>
    <row r="20" spans="1:23" x14ac:dyDescent="0.2">
      <c r="A20" t="s">
        <v>77</v>
      </c>
      <c r="B20" s="25">
        <f>AVERAGE(B4,B5,B7,B9)</f>
        <v>10.0875</v>
      </c>
      <c r="C20" s="120"/>
      <c r="D20" s="132"/>
      <c r="J20" s="120"/>
      <c r="K20" s="132"/>
      <c r="P20" s="120"/>
      <c r="Q20" s="132"/>
      <c r="R20" s="28"/>
      <c r="S20" t="s">
        <v>549</v>
      </c>
      <c r="V20" s="120"/>
      <c r="W20" s="132"/>
    </row>
    <row r="21" spans="1:23" x14ac:dyDescent="0.2">
      <c r="C21" s="120"/>
      <c r="D21" s="132"/>
      <c r="J21" s="120"/>
      <c r="K21" s="132"/>
      <c r="P21" s="120"/>
      <c r="Q21" s="132"/>
      <c r="R21" s="28"/>
      <c r="S21" t="s">
        <v>550</v>
      </c>
      <c r="V21" s="120"/>
      <c r="W21" s="132"/>
    </row>
    <row r="22" spans="1:23" x14ac:dyDescent="0.2">
      <c r="C22" s="120"/>
      <c r="D22" s="132"/>
      <c r="J22" s="120"/>
      <c r="K22" s="132"/>
      <c r="P22" s="120"/>
      <c r="Q22" s="132"/>
      <c r="R22" s="28"/>
      <c r="V22" s="120"/>
      <c r="W22" s="132"/>
    </row>
    <row r="23" spans="1:23" x14ac:dyDescent="0.2">
      <c r="R23" s="28"/>
      <c r="S23" s="220" t="s">
        <v>557</v>
      </c>
    </row>
    <row r="24" spans="1:23" x14ac:dyDescent="0.2">
      <c r="C24" s="115"/>
      <c r="D24" s="127"/>
      <c r="J24" s="115"/>
      <c r="K24" s="127"/>
      <c r="P24" s="115"/>
      <c r="Q24" s="127"/>
      <c r="R24" s="28"/>
      <c r="T24" s="327">
        <v>0.120012484394511</v>
      </c>
      <c r="U24" s="28"/>
      <c r="V24" s="115"/>
      <c r="W24" s="127"/>
    </row>
    <row r="25" spans="1:23" x14ac:dyDescent="0.2">
      <c r="C25" s="120"/>
      <c r="D25" s="132"/>
      <c r="J25" s="120"/>
      <c r="K25" s="132"/>
      <c r="P25" s="120"/>
      <c r="Q25" s="132"/>
      <c r="S25" s="220" t="s">
        <v>558</v>
      </c>
      <c r="T25" s="324"/>
      <c r="V25" s="120"/>
      <c r="W25" s="132"/>
    </row>
    <row r="26" spans="1:23" x14ac:dyDescent="0.2">
      <c r="C26" s="121"/>
      <c r="D26" s="133"/>
      <c r="J26" s="121"/>
      <c r="K26" s="133"/>
      <c r="P26" s="121"/>
      <c r="Q26" s="133"/>
      <c r="V26" s="121"/>
      <c r="W26" s="133"/>
    </row>
    <row r="27" spans="1:23" x14ac:dyDescent="0.2">
      <c r="C27" s="120"/>
      <c r="D27" s="132"/>
      <c r="J27" s="120"/>
      <c r="K27" s="132"/>
      <c r="P27" s="120"/>
      <c r="Q27" s="132"/>
      <c r="T27" s="9"/>
      <c r="V27" s="120"/>
      <c r="W27" s="132"/>
    </row>
    <row r="28" spans="1:23" x14ac:dyDescent="0.2">
      <c r="C28" s="120"/>
      <c r="D28" s="132"/>
      <c r="J28" s="120"/>
      <c r="K28" s="132"/>
      <c r="P28" s="120"/>
      <c r="Q28" s="132"/>
      <c r="R28" s="325"/>
      <c r="S28" s="328" t="s">
        <v>560</v>
      </c>
      <c r="T28" s="328"/>
      <c r="V28" s="120"/>
      <c r="W28" s="132"/>
    </row>
    <row r="30" spans="1:23" x14ac:dyDescent="0.2">
      <c r="C30" s="115"/>
      <c r="D30" s="127"/>
      <c r="J30" s="115"/>
      <c r="K30" s="127"/>
      <c r="P30" s="115"/>
      <c r="Q30" s="127"/>
      <c r="V30" s="115"/>
      <c r="W30" s="127"/>
    </row>
    <row r="31" spans="1:23" x14ac:dyDescent="0.2">
      <c r="C31" s="117"/>
      <c r="D31" s="129"/>
      <c r="J31" s="117"/>
      <c r="K31" s="129"/>
      <c r="P31" s="117"/>
      <c r="Q31" s="129"/>
      <c r="T31" s="1"/>
      <c r="V31" s="323"/>
      <c r="W31" s="129"/>
    </row>
    <row r="32" spans="1:23" x14ac:dyDescent="0.2">
      <c r="C32" s="117"/>
      <c r="D32" s="129"/>
      <c r="J32" s="117"/>
      <c r="K32" s="129"/>
      <c r="P32" s="117"/>
      <c r="Q32" s="129"/>
      <c r="T32" s="165"/>
      <c r="V32" s="323"/>
      <c r="W32" s="129"/>
    </row>
    <row r="33" spans="3:23" x14ac:dyDescent="0.2">
      <c r="C33" s="122"/>
      <c r="D33" s="134"/>
      <c r="J33" s="122"/>
      <c r="K33" s="134"/>
      <c r="P33" s="122"/>
      <c r="Q33" s="134"/>
      <c r="V33" s="326"/>
      <c r="W33" s="134"/>
    </row>
    <row r="34" spans="3:23" x14ac:dyDescent="0.2">
      <c r="C34" s="117"/>
      <c r="D34" s="129"/>
      <c r="J34" s="117"/>
      <c r="K34" s="129"/>
      <c r="P34" s="117"/>
      <c r="Q34" s="129"/>
      <c r="V34" s="323"/>
      <c r="W34" s="129"/>
    </row>
    <row r="35" spans="3:23" x14ac:dyDescent="0.2">
      <c r="C35" s="117"/>
      <c r="D35" s="129"/>
      <c r="J35" s="117"/>
      <c r="K35" s="129"/>
      <c r="P35" s="117"/>
      <c r="Q35" s="129"/>
      <c r="V35" s="323"/>
      <c r="W35" s="129"/>
    </row>
    <row r="36" spans="3:23" x14ac:dyDescent="0.2">
      <c r="C36" s="123"/>
      <c r="D36" s="135"/>
      <c r="J36" s="123"/>
      <c r="K36" s="135"/>
      <c r="P36" s="123"/>
      <c r="Q36" s="135"/>
      <c r="V36" s="123"/>
      <c r="W36" s="135"/>
    </row>
    <row r="37" spans="3:23" x14ac:dyDescent="0.2">
      <c r="C37" s="115"/>
      <c r="D37" s="127"/>
      <c r="J37" s="115"/>
      <c r="K37" s="127"/>
      <c r="P37" s="115"/>
      <c r="Q37" s="127"/>
      <c r="V37" s="115"/>
      <c r="W37" s="127"/>
    </row>
    <row r="38" spans="3:23" x14ac:dyDescent="0.2">
      <c r="C38" s="124"/>
      <c r="D38" s="136"/>
      <c r="J38" s="124"/>
      <c r="K38" s="136"/>
      <c r="P38" s="124"/>
      <c r="Q38" s="136"/>
      <c r="V38" s="124"/>
      <c r="W38" s="136"/>
    </row>
    <row r="39" spans="3:23" x14ac:dyDescent="0.2">
      <c r="C39" s="116"/>
      <c r="D39" s="128"/>
      <c r="J39" s="116"/>
      <c r="K39" s="128"/>
      <c r="P39" s="116"/>
      <c r="Q39" s="128"/>
      <c r="V39" s="116"/>
      <c r="W39" s="128"/>
    </row>
    <row r="40" spans="3:23" x14ac:dyDescent="0.2">
      <c r="C40" s="125"/>
      <c r="D40" s="137"/>
      <c r="J40" s="125"/>
      <c r="K40" s="137"/>
      <c r="P40" s="125"/>
      <c r="Q40" s="137"/>
      <c r="V40" s="125"/>
      <c r="W40" s="137"/>
    </row>
    <row r="41" spans="3:23" x14ac:dyDescent="0.2">
      <c r="C41" s="125"/>
      <c r="D41" s="137"/>
      <c r="J41" s="125"/>
      <c r="K41" s="137"/>
      <c r="P41" s="125"/>
      <c r="Q41" s="137"/>
      <c r="V41" s="125"/>
      <c r="W41" s="137"/>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0"/>
  <sheetViews>
    <sheetView zoomScale="112" zoomScaleNormal="112" workbookViewId="0">
      <selection activeCell="A7" sqref="A7"/>
    </sheetView>
  </sheetViews>
  <sheetFormatPr defaultColWidth="8.85546875" defaultRowHeight="12.75" x14ac:dyDescent="0.2"/>
  <cols>
    <col min="1" max="1" width="22.42578125" customWidth="1"/>
    <col min="2" max="2" width="10.140625" bestFit="1" customWidth="1"/>
    <col min="3" max="4" width="10.140625" customWidth="1"/>
    <col min="5" max="5" width="9.85546875" bestFit="1" customWidth="1"/>
    <col min="6" max="6" width="11.140625" bestFit="1" customWidth="1"/>
    <col min="7" max="7" width="9.85546875" bestFit="1" customWidth="1"/>
    <col min="8" max="12" width="9.28515625" bestFit="1" customWidth="1"/>
    <col min="13" max="13" width="1.7109375" style="114" customWidth="1"/>
    <col min="14" max="14" width="1.7109375" style="126" customWidth="1"/>
    <col min="15" max="15" width="1.7109375" style="114" customWidth="1"/>
    <col min="16" max="16" width="28" bestFit="1" customWidth="1"/>
    <col min="17" max="17" width="18" bestFit="1" customWidth="1"/>
    <col min="18" max="18" width="14.42578125" bestFit="1" customWidth="1"/>
  </cols>
  <sheetData>
    <row r="1" spans="1:17" ht="14.25" thickTop="1" thickBot="1" x14ac:dyDescent="0.25">
      <c r="A1" s="112" t="s">
        <v>300</v>
      </c>
      <c r="P1" s="112" t="s">
        <v>323</v>
      </c>
    </row>
    <row r="2" spans="1:17" ht="13.5" thickTop="1" x14ac:dyDescent="0.2">
      <c r="M2" s="115"/>
      <c r="N2" s="127"/>
    </row>
    <row r="3" spans="1:17" x14ac:dyDescent="0.2">
      <c r="A3" t="s">
        <v>302</v>
      </c>
      <c r="B3" s="2">
        <v>12000000</v>
      </c>
      <c r="M3" s="116"/>
      <c r="N3" s="128"/>
    </row>
    <row r="4" spans="1:17" x14ac:dyDescent="0.2">
      <c r="A4" t="s">
        <v>303</v>
      </c>
      <c r="B4">
        <v>10</v>
      </c>
      <c r="M4" s="116"/>
      <c r="N4" s="128"/>
      <c r="P4" t="s">
        <v>324</v>
      </c>
      <c r="Q4" s="2">
        <v>100000</v>
      </c>
    </row>
    <row r="5" spans="1:17" x14ac:dyDescent="0.2">
      <c r="A5" t="s">
        <v>301</v>
      </c>
      <c r="B5" s="2">
        <f>B3/B4</f>
        <v>1200000</v>
      </c>
      <c r="M5" s="116"/>
      <c r="N5" s="128"/>
      <c r="P5" t="s">
        <v>325</v>
      </c>
      <c r="Q5">
        <v>10</v>
      </c>
    </row>
    <row r="6" spans="1:17" x14ac:dyDescent="0.2">
      <c r="M6" s="116"/>
      <c r="N6" s="128"/>
      <c r="P6" t="s">
        <v>326</v>
      </c>
    </row>
    <row r="7" spans="1:17" x14ac:dyDescent="0.2">
      <c r="A7" s="9" t="s">
        <v>321</v>
      </c>
      <c r="M7" s="116"/>
      <c r="N7" s="128"/>
      <c r="P7" t="s">
        <v>320</v>
      </c>
      <c r="Q7">
        <v>20000</v>
      </c>
    </row>
    <row r="8" spans="1:17" x14ac:dyDescent="0.2">
      <c r="M8" s="116"/>
      <c r="N8" s="128"/>
      <c r="P8" t="s">
        <v>327</v>
      </c>
      <c r="Q8" s="2">
        <v>60000</v>
      </c>
    </row>
    <row r="9" spans="1:17" x14ac:dyDescent="0.2">
      <c r="B9" s="3" t="s">
        <v>315</v>
      </c>
      <c r="C9" s="3" t="s">
        <v>304</v>
      </c>
      <c r="D9" s="3" t="s">
        <v>305</v>
      </c>
      <c r="E9" s="3" t="s">
        <v>306</v>
      </c>
      <c r="F9" s="3" t="s">
        <v>307</v>
      </c>
      <c r="G9" s="3" t="s">
        <v>309</v>
      </c>
      <c r="H9" s="3" t="s">
        <v>310</v>
      </c>
      <c r="I9" s="3" t="s">
        <v>311</v>
      </c>
      <c r="J9" s="3" t="s">
        <v>312</v>
      </c>
      <c r="K9" s="3" t="s">
        <v>313</v>
      </c>
      <c r="L9" s="3" t="s">
        <v>314</v>
      </c>
      <c r="M9" s="116"/>
      <c r="N9" s="128"/>
    </row>
    <row r="10" spans="1:17" x14ac:dyDescent="0.2">
      <c r="A10" t="s">
        <v>317</v>
      </c>
      <c r="C10" s="2">
        <f>B3</f>
        <v>12000000</v>
      </c>
      <c r="D10" s="2">
        <f t="shared" ref="D10:L10" si="0">C13</f>
        <v>10800000</v>
      </c>
      <c r="E10" s="2">
        <f t="shared" si="0"/>
        <v>9600000</v>
      </c>
      <c r="F10" s="2">
        <f t="shared" si="0"/>
        <v>8400000</v>
      </c>
      <c r="G10" s="2">
        <f t="shared" si="0"/>
        <v>4800000</v>
      </c>
      <c r="H10" s="2">
        <f t="shared" si="0"/>
        <v>4000000</v>
      </c>
      <c r="I10" s="2">
        <f t="shared" si="0"/>
        <v>3200000</v>
      </c>
      <c r="J10" s="2">
        <f t="shared" si="0"/>
        <v>2400000</v>
      </c>
      <c r="K10" s="2">
        <f t="shared" si="0"/>
        <v>1600000</v>
      </c>
      <c r="L10" s="2">
        <f t="shared" si="0"/>
        <v>800000</v>
      </c>
    </row>
    <row r="11" spans="1:17" x14ac:dyDescent="0.2">
      <c r="A11" t="s">
        <v>318</v>
      </c>
      <c r="C11" s="2">
        <f>$B$3/$B$4</f>
        <v>1200000</v>
      </c>
      <c r="D11" s="2">
        <f>$B$3/$B$4</f>
        <v>1200000</v>
      </c>
      <c r="E11" s="2">
        <f>$B$3/$B$4</f>
        <v>1200000</v>
      </c>
      <c r="F11" s="2">
        <f>$B$3/$B$4</f>
        <v>1200000</v>
      </c>
      <c r="G11" s="2">
        <f t="shared" ref="G11:L11" si="1">$G$10/6</f>
        <v>800000</v>
      </c>
      <c r="H11" s="2">
        <f t="shared" si="1"/>
        <v>800000</v>
      </c>
      <c r="I11" s="2">
        <f t="shared" si="1"/>
        <v>800000</v>
      </c>
      <c r="J11" s="2">
        <f t="shared" si="1"/>
        <v>800000</v>
      </c>
      <c r="K11" s="2">
        <f t="shared" si="1"/>
        <v>800000</v>
      </c>
      <c r="L11" s="2">
        <f t="shared" si="1"/>
        <v>800000</v>
      </c>
      <c r="M11" s="115"/>
      <c r="N11" s="127"/>
      <c r="P11" s="54" t="s">
        <v>328</v>
      </c>
      <c r="Q11" s="145"/>
    </row>
    <row r="12" spans="1:17" x14ac:dyDescent="0.2">
      <c r="A12" t="s">
        <v>316</v>
      </c>
      <c r="F12" s="2">
        <f>F10-F11-F13</f>
        <v>2400000</v>
      </c>
      <c r="M12" s="117"/>
      <c r="N12" s="129"/>
      <c r="P12" t="s">
        <v>81</v>
      </c>
      <c r="Q12" s="2">
        <f>Q8</f>
        <v>60000</v>
      </c>
    </row>
    <row r="13" spans="1:17" x14ac:dyDescent="0.2">
      <c r="A13" t="s">
        <v>319</v>
      </c>
      <c r="C13" s="2">
        <f>B3-B5</f>
        <v>10800000</v>
      </c>
      <c r="D13" s="2">
        <f>C13-$B$5</f>
        <v>9600000</v>
      </c>
      <c r="E13" s="2">
        <f>D13-$B$5</f>
        <v>8400000</v>
      </c>
      <c r="F13" s="2">
        <v>4800000</v>
      </c>
      <c r="G13" s="2">
        <f t="shared" ref="G13:L13" si="2">G10-G11</f>
        <v>4000000</v>
      </c>
      <c r="H13" s="2">
        <f t="shared" si="2"/>
        <v>3200000</v>
      </c>
      <c r="I13" s="2">
        <f t="shared" si="2"/>
        <v>2400000</v>
      </c>
      <c r="J13" s="2">
        <f t="shared" si="2"/>
        <v>1600000</v>
      </c>
      <c r="K13" s="2">
        <f t="shared" si="2"/>
        <v>800000</v>
      </c>
      <c r="L13" s="2">
        <f t="shared" si="2"/>
        <v>0</v>
      </c>
      <c r="M13" s="117"/>
      <c r="N13" s="129"/>
      <c r="P13" t="s">
        <v>320</v>
      </c>
      <c r="Q13" s="2">
        <f>-Q7</f>
        <v>-20000</v>
      </c>
    </row>
    <row r="14" spans="1:17" x14ac:dyDescent="0.2">
      <c r="B14" s="2"/>
      <c r="C14" s="2"/>
      <c r="D14" s="2"/>
      <c r="E14" s="2"/>
      <c r="F14" s="2"/>
      <c r="M14" s="117"/>
      <c r="N14" s="129"/>
      <c r="P14" t="s">
        <v>104</v>
      </c>
      <c r="Q14" s="2">
        <f>-(Q4/Q5)</f>
        <v>-10000</v>
      </c>
    </row>
    <row r="15" spans="1:17" x14ac:dyDescent="0.2">
      <c r="B15" s="2"/>
      <c r="C15" t="s">
        <v>131</v>
      </c>
      <c r="D15" t="s">
        <v>132</v>
      </c>
      <c r="E15" t="s">
        <v>133</v>
      </c>
      <c r="F15" t="s">
        <v>134</v>
      </c>
      <c r="G15" t="s">
        <v>135</v>
      </c>
      <c r="M15" s="117"/>
      <c r="N15" s="129"/>
      <c r="P15" s="54" t="s">
        <v>329</v>
      </c>
      <c r="Q15" s="166">
        <f>SUM(Q12:Q14)</f>
        <v>30000</v>
      </c>
    </row>
    <row r="16" spans="1:17" x14ac:dyDescent="0.2">
      <c r="A16" t="s">
        <v>308</v>
      </c>
      <c r="C16" s="2">
        <v>5000000</v>
      </c>
      <c r="D16" s="2">
        <v>5000000</v>
      </c>
      <c r="E16" s="2">
        <v>5000000</v>
      </c>
      <c r="F16" s="2">
        <f>E16*0.5</f>
        <v>2500000</v>
      </c>
      <c r="G16" s="2">
        <f>F16*0.9</f>
        <v>2250000</v>
      </c>
      <c r="M16" s="117"/>
      <c r="N16" s="129"/>
    </row>
    <row r="17" spans="1:17" x14ac:dyDescent="0.2">
      <c r="A17" t="s">
        <v>320</v>
      </c>
      <c r="C17" s="2">
        <v>-1000000</v>
      </c>
      <c r="D17" s="2">
        <v>-1000000</v>
      </c>
      <c r="E17" s="2">
        <v>-1000000</v>
      </c>
      <c r="F17" s="2">
        <v>-1000000</v>
      </c>
      <c r="G17" s="2">
        <v>-1000000</v>
      </c>
      <c r="M17" s="118"/>
      <c r="N17" s="130"/>
      <c r="P17" t="s">
        <v>330</v>
      </c>
    </row>
    <row r="18" spans="1:17" x14ac:dyDescent="0.2">
      <c r="A18" t="s">
        <v>318</v>
      </c>
      <c r="F18" s="2">
        <f>-F11</f>
        <v>-1200000</v>
      </c>
      <c r="G18" s="2">
        <f>-(G11+G12)</f>
        <v>-800000</v>
      </c>
      <c r="M18" s="119"/>
      <c r="N18" s="131"/>
    </row>
    <row r="19" spans="1:17" x14ac:dyDescent="0.2">
      <c r="A19" t="s">
        <v>316</v>
      </c>
      <c r="F19" s="2">
        <f>-F12</f>
        <v>-2400000</v>
      </c>
      <c r="G19" s="2"/>
      <c r="M19" s="120"/>
      <c r="N19" s="132"/>
      <c r="P19" s="54" t="s">
        <v>331</v>
      </c>
      <c r="Q19" s="54"/>
    </row>
    <row r="20" spans="1:17" x14ac:dyDescent="0.2">
      <c r="A20" t="s">
        <v>179</v>
      </c>
      <c r="F20" s="165">
        <f>SUM(F16:F19)</f>
        <v>-2100000</v>
      </c>
      <c r="G20" s="165">
        <f>SUM(G16:G19)</f>
        <v>450000</v>
      </c>
      <c r="M20" s="120"/>
      <c r="N20" s="132"/>
      <c r="P20" t="s">
        <v>308</v>
      </c>
      <c r="Q20" s="2">
        <f>Q8</f>
        <v>60000</v>
      </c>
    </row>
    <row r="21" spans="1:17" x14ac:dyDescent="0.2">
      <c r="M21" s="120"/>
      <c r="N21" s="132"/>
      <c r="P21" s="54" t="s">
        <v>332</v>
      </c>
      <c r="Q21" s="54"/>
    </row>
    <row r="22" spans="1:17" x14ac:dyDescent="0.2">
      <c r="P22" t="s">
        <v>334</v>
      </c>
      <c r="Q22" s="2">
        <f>-Q4</f>
        <v>-100000</v>
      </c>
    </row>
    <row r="23" spans="1:17" x14ac:dyDescent="0.2">
      <c r="M23" s="115"/>
      <c r="N23" s="127"/>
      <c r="P23" t="s">
        <v>333</v>
      </c>
      <c r="Q23">
        <f>-Q7</f>
        <v>-20000</v>
      </c>
    </row>
    <row r="24" spans="1:17" x14ac:dyDescent="0.2">
      <c r="A24" s="9" t="s">
        <v>322</v>
      </c>
      <c r="M24" s="120"/>
      <c r="N24" s="132"/>
      <c r="P24" s="54" t="s">
        <v>335</v>
      </c>
      <c r="Q24" s="166">
        <f>SUM(Q20:Q23)</f>
        <v>-60000</v>
      </c>
    </row>
    <row r="25" spans="1:17" x14ac:dyDescent="0.2">
      <c r="M25" s="121"/>
      <c r="N25" s="133"/>
    </row>
    <row r="26" spans="1:17" x14ac:dyDescent="0.2">
      <c r="B26" s="3" t="s">
        <v>315</v>
      </c>
      <c r="C26" s="3" t="s">
        <v>304</v>
      </c>
      <c r="D26" s="3" t="s">
        <v>305</v>
      </c>
      <c r="E26" s="3" t="s">
        <v>306</v>
      </c>
      <c r="F26" s="3" t="s">
        <v>307</v>
      </c>
      <c r="G26" s="3" t="s">
        <v>309</v>
      </c>
      <c r="H26" s="3" t="s">
        <v>310</v>
      </c>
      <c r="I26" s="3" t="s">
        <v>311</v>
      </c>
      <c r="J26" s="3" t="s">
        <v>312</v>
      </c>
      <c r="K26" s="3" t="s">
        <v>313</v>
      </c>
      <c r="L26" s="3" t="s">
        <v>314</v>
      </c>
      <c r="M26" s="120"/>
      <c r="N26" s="132"/>
    </row>
    <row r="27" spans="1:17" x14ac:dyDescent="0.2">
      <c r="A27" t="s">
        <v>317</v>
      </c>
      <c r="C27" s="2">
        <f>B3</f>
        <v>12000000</v>
      </c>
      <c r="D27" s="2">
        <f t="shared" ref="D27:L27" si="3">C30</f>
        <v>10800000</v>
      </c>
      <c r="E27" s="2">
        <f t="shared" si="3"/>
        <v>9600000</v>
      </c>
      <c r="F27" s="2">
        <f t="shared" si="3"/>
        <v>8400000</v>
      </c>
      <c r="G27" s="2">
        <f t="shared" si="3"/>
        <v>7200000</v>
      </c>
      <c r="H27" s="2">
        <f t="shared" si="3"/>
        <v>6000000</v>
      </c>
      <c r="I27" s="2">
        <f t="shared" si="3"/>
        <v>4800000</v>
      </c>
      <c r="J27" s="2">
        <f t="shared" si="3"/>
        <v>3600000</v>
      </c>
      <c r="K27" s="2">
        <f t="shared" si="3"/>
        <v>2400000</v>
      </c>
      <c r="L27" s="2">
        <f t="shared" si="3"/>
        <v>1200000</v>
      </c>
      <c r="M27" s="120"/>
      <c r="N27" s="132"/>
    </row>
    <row r="28" spans="1:17" x14ac:dyDescent="0.2">
      <c r="A28" t="s">
        <v>318</v>
      </c>
      <c r="C28" s="2">
        <f>$B$3/$B$4</f>
        <v>1200000</v>
      </c>
      <c r="D28" s="2">
        <f t="shared" ref="D28:L28" si="4">$B$3/$B$4</f>
        <v>1200000</v>
      </c>
      <c r="E28" s="2">
        <f t="shared" si="4"/>
        <v>1200000</v>
      </c>
      <c r="F28" s="2">
        <f t="shared" si="4"/>
        <v>1200000</v>
      </c>
      <c r="G28" s="2">
        <f t="shared" si="4"/>
        <v>1200000</v>
      </c>
      <c r="H28" s="2">
        <f t="shared" si="4"/>
        <v>1200000</v>
      </c>
      <c r="I28" s="2">
        <f t="shared" si="4"/>
        <v>1200000</v>
      </c>
      <c r="J28" s="2">
        <f t="shared" si="4"/>
        <v>1200000</v>
      </c>
      <c r="K28" s="2">
        <f t="shared" si="4"/>
        <v>1200000</v>
      </c>
      <c r="L28" s="2">
        <f t="shared" si="4"/>
        <v>1200000</v>
      </c>
    </row>
    <row r="29" spans="1:17" x14ac:dyDescent="0.2">
      <c r="A29" t="s">
        <v>316</v>
      </c>
      <c r="F29" s="2"/>
      <c r="M29" s="115"/>
      <c r="N29" s="127"/>
    </row>
    <row r="30" spans="1:17" x14ac:dyDescent="0.2">
      <c r="A30" t="s">
        <v>319</v>
      </c>
      <c r="C30" s="2">
        <f>B3-B5</f>
        <v>10800000</v>
      </c>
      <c r="D30" s="2">
        <f>C30-$B$5</f>
        <v>9600000</v>
      </c>
      <c r="E30" s="2">
        <f>D30-$B$5</f>
        <v>8400000</v>
      </c>
      <c r="F30" s="2">
        <f t="shared" ref="F30:L30" si="5">E30-$B$5</f>
        <v>7200000</v>
      </c>
      <c r="G30" s="2">
        <f t="shared" si="5"/>
        <v>6000000</v>
      </c>
      <c r="H30" s="2">
        <f t="shared" si="5"/>
        <v>4800000</v>
      </c>
      <c r="I30" s="2">
        <f t="shared" si="5"/>
        <v>3600000</v>
      </c>
      <c r="J30" s="2">
        <f t="shared" si="5"/>
        <v>2400000</v>
      </c>
      <c r="K30" s="2">
        <f t="shared" si="5"/>
        <v>1200000</v>
      </c>
      <c r="L30" s="2">
        <f t="shared" si="5"/>
        <v>0</v>
      </c>
      <c r="M30" s="117"/>
      <c r="N30" s="129"/>
    </row>
    <row r="31" spans="1:17" x14ac:dyDescent="0.2">
      <c r="B31" s="2"/>
      <c r="C31" s="2"/>
      <c r="D31" s="2"/>
      <c r="E31" s="2"/>
      <c r="F31" s="2"/>
      <c r="M31" s="117"/>
      <c r="N31" s="129"/>
    </row>
    <row r="32" spans="1:17" x14ac:dyDescent="0.2">
      <c r="B32" s="2"/>
      <c r="C32" t="s">
        <v>131</v>
      </c>
      <c r="D32" t="s">
        <v>132</v>
      </c>
      <c r="E32" t="s">
        <v>133</v>
      </c>
      <c r="F32" t="s">
        <v>134</v>
      </c>
      <c r="G32" t="s">
        <v>135</v>
      </c>
      <c r="M32" s="122"/>
      <c r="N32" s="134"/>
    </row>
    <row r="33" spans="1:14" x14ac:dyDescent="0.2">
      <c r="A33" t="s">
        <v>308</v>
      </c>
      <c r="C33" s="2">
        <v>5000000</v>
      </c>
      <c r="D33" s="2">
        <v>5000000</v>
      </c>
      <c r="E33" s="2">
        <v>5000000</v>
      </c>
      <c r="F33" s="2">
        <f>E33*0.5</f>
        <v>2500000</v>
      </c>
      <c r="G33" s="2">
        <f>F33*0.9</f>
        <v>2250000</v>
      </c>
      <c r="M33" s="117"/>
      <c r="N33" s="129"/>
    </row>
    <row r="34" spans="1:14" x14ac:dyDescent="0.2">
      <c r="A34" t="s">
        <v>320</v>
      </c>
      <c r="C34" s="2">
        <v>-1000000</v>
      </c>
      <c r="D34" s="2">
        <v>-1000000</v>
      </c>
      <c r="E34" s="2">
        <v>-1000000</v>
      </c>
      <c r="F34" s="2">
        <v>-1000000</v>
      </c>
      <c r="G34" s="2">
        <v>-1000000</v>
      </c>
      <c r="M34" s="117"/>
      <c r="N34" s="129"/>
    </row>
    <row r="35" spans="1:14" x14ac:dyDescent="0.2">
      <c r="A35" t="s">
        <v>318</v>
      </c>
      <c r="F35" s="2">
        <f>-F28</f>
        <v>-1200000</v>
      </c>
      <c r="G35" s="2">
        <f>-(G28+G29)</f>
        <v>-1200000</v>
      </c>
      <c r="M35" s="123"/>
      <c r="N35" s="135"/>
    </row>
    <row r="36" spans="1:14" x14ac:dyDescent="0.2">
      <c r="A36" t="s">
        <v>316</v>
      </c>
      <c r="F36" s="2">
        <f>-F29</f>
        <v>0</v>
      </c>
      <c r="G36" s="2"/>
      <c r="M36" s="115"/>
      <c r="N36" s="127"/>
    </row>
    <row r="37" spans="1:14" x14ac:dyDescent="0.2">
      <c r="A37" t="s">
        <v>179</v>
      </c>
      <c r="F37" s="165">
        <f>SUM(F33:F36)</f>
        <v>300000</v>
      </c>
      <c r="G37" s="165">
        <f>SUM(G33:G36)</f>
        <v>50000</v>
      </c>
      <c r="M37" s="124"/>
      <c r="N37" s="136"/>
    </row>
    <row r="38" spans="1:14" x14ac:dyDescent="0.2">
      <c r="M38" s="116"/>
      <c r="N38" s="128"/>
    </row>
    <row r="39" spans="1:14" x14ac:dyDescent="0.2">
      <c r="M39" s="125"/>
      <c r="N39" s="137"/>
    </row>
    <row r="40" spans="1:14" x14ac:dyDescent="0.2">
      <c r="M40" s="125"/>
      <c r="N40" s="137"/>
    </row>
  </sheetData>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1"/>
  <sheetViews>
    <sheetView zoomScale="90" zoomScaleNormal="90" workbookViewId="0">
      <selection activeCell="A71" sqref="A71"/>
    </sheetView>
  </sheetViews>
  <sheetFormatPr defaultColWidth="9.140625" defaultRowHeight="12.75" x14ac:dyDescent="0.2"/>
  <cols>
    <col min="1" max="1" width="35.140625" customWidth="1"/>
    <col min="2" max="2" width="33.140625" bestFit="1" customWidth="1"/>
    <col min="3" max="3" width="10.140625" customWidth="1"/>
    <col min="4" max="4" width="8.7109375" customWidth="1"/>
    <col min="5" max="5" width="10.140625" customWidth="1"/>
    <col min="6" max="6" width="8.42578125" customWidth="1"/>
    <col min="7" max="7" width="6.28515625" customWidth="1"/>
    <col min="8" max="8" width="39.5703125" bestFit="1" customWidth="1"/>
    <col min="9" max="9" width="10.85546875" bestFit="1" customWidth="1"/>
    <col min="10" max="10" width="10.85546875" customWidth="1"/>
    <col min="11" max="11" width="1.7109375" style="114" customWidth="1"/>
    <col min="12" max="12" width="1.7109375" style="126" customWidth="1"/>
    <col min="13" max="13" width="1.7109375" style="114" customWidth="1"/>
    <col min="14" max="14" width="34.42578125" bestFit="1" customWidth="1"/>
    <col min="19" max="19" width="30.5703125" bestFit="1" customWidth="1"/>
  </cols>
  <sheetData>
    <row r="1" spans="1:15" ht="31.5" thickTop="1" thickBot="1" x14ac:dyDescent="0.45">
      <c r="A1" s="112" t="s">
        <v>97</v>
      </c>
      <c r="B1" s="140"/>
      <c r="C1" s="2">
        <f>(B17+B19)</f>
        <v>3751.2</v>
      </c>
      <c r="D1">
        <f>(4689-938)/22639</f>
        <v>0.16568753036794912</v>
      </c>
      <c r="N1" s="112" t="s">
        <v>221</v>
      </c>
    </row>
    <row r="2" spans="1:15" ht="18.75" thickTop="1" x14ac:dyDescent="0.25">
      <c r="H2" s="113" t="s">
        <v>7</v>
      </c>
    </row>
    <row r="3" spans="1:15" x14ac:dyDescent="0.2">
      <c r="A3" t="s">
        <v>59</v>
      </c>
      <c r="B3" s="1">
        <v>0.2</v>
      </c>
      <c r="H3" s="101" t="s">
        <v>98</v>
      </c>
      <c r="I3" s="52"/>
      <c r="J3" s="253"/>
      <c r="K3" s="115"/>
      <c r="L3" s="127"/>
      <c r="N3" s="37" t="s">
        <v>80</v>
      </c>
      <c r="O3" s="38"/>
    </row>
    <row r="4" spans="1:15" x14ac:dyDescent="0.2">
      <c r="H4" t="s">
        <v>100</v>
      </c>
      <c r="I4" s="2">
        <f>AVERAGE(D33,F33)</f>
        <v>57669</v>
      </c>
      <c r="J4" s="2"/>
      <c r="K4" s="116"/>
      <c r="L4" s="128"/>
      <c r="N4" s="39" t="s">
        <v>83</v>
      </c>
      <c r="O4" s="62">
        <v>6.5000000000000002E-2</v>
      </c>
    </row>
    <row r="5" spans="1:15" x14ac:dyDescent="0.2">
      <c r="A5" s="54" t="s">
        <v>185</v>
      </c>
      <c r="B5" s="54">
        <v>2021</v>
      </c>
      <c r="C5" s="54">
        <v>2020</v>
      </c>
      <c r="H5" t="s">
        <v>101</v>
      </c>
      <c r="I5" s="2">
        <f>(D55-C45-C46-C50-C54+F55-E45-E46-E50-E54)/2</f>
        <v>44698</v>
      </c>
      <c r="J5" s="2"/>
      <c r="K5" s="116"/>
      <c r="L5" s="128"/>
      <c r="N5" s="39" t="s">
        <v>84</v>
      </c>
      <c r="O5" s="63">
        <v>0.28000000000000003</v>
      </c>
    </row>
    <row r="6" spans="1:15" x14ac:dyDescent="0.2">
      <c r="A6" t="s">
        <v>177</v>
      </c>
      <c r="B6" s="2">
        <v>46527</v>
      </c>
      <c r="C6" s="2">
        <v>36234</v>
      </c>
      <c r="D6" s="2"/>
      <c r="E6" s="2"/>
      <c r="F6" s="2"/>
      <c r="H6" t="s">
        <v>102</v>
      </c>
      <c r="I6" s="2">
        <f>(D40+D41+F40+F41)/2</f>
        <v>22639</v>
      </c>
      <c r="J6" s="2"/>
      <c r="K6" s="116"/>
      <c r="L6" s="128"/>
      <c r="N6" s="40" t="s">
        <v>85</v>
      </c>
      <c r="O6" s="64">
        <v>0.3</v>
      </c>
    </row>
    <row r="7" spans="1:15" x14ac:dyDescent="0.2">
      <c r="A7" s="15" t="s">
        <v>178</v>
      </c>
      <c r="B7" s="19">
        <v>-31154</v>
      </c>
      <c r="C7" s="19">
        <v>-24150</v>
      </c>
      <c r="D7" s="2"/>
      <c r="E7" s="2"/>
      <c r="F7" s="2"/>
      <c r="H7" s="220" t="s">
        <v>188</v>
      </c>
      <c r="I7" s="2">
        <f>(C43+C48+C52+E52+E48+E43)/2</f>
        <v>22059</v>
      </c>
      <c r="J7" s="2"/>
      <c r="K7" s="116"/>
      <c r="L7" s="128"/>
      <c r="N7" s="39" t="s">
        <v>86</v>
      </c>
      <c r="O7" s="65">
        <v>100</v>
      </c>
    </row>
    <row r="8" spans="1:15" x14ac:dyDescent="0.2">
      <c r="A8" t="s">
        <v>179</v>
      </c>
      <c r="B8" s="2">
        <f>SUM(B6:B7)</f>
        <v>15373</v>
      </c>
      <c r="C8" s="2">
        <f>SUM(C6:C7)</f>
        <v>12084</v>
      </c>
      <c r="D8" s="2"/>
      <c r="E8" s="2"/>
      <c r="F8" s="2"/>
      <c r="H8" s="39" t="s">
        <v>174</v>
      </c>
      <c r="I8" s="2">
        <f>(C29+E29)/2</f>
        <v>5614.5</v>
      </c>
      <c r="J8" s="2"/>
      <c r="K8" s="116"/>
      <c r="L8" s="128"/>
      <c r="N8" s="39" t="s">
        <v>87</v>
      </c>
      <c r="O8" s="65">
        <v>50</v>
      </c>
    </row>
    <row r="9" spans="1:15" x14ac:dyDescent="0.2">
      <c r="H9" s="220" t="s">
        <v>374</v>
      </c>
      <c r="I9" s="2">
        <f>(C30+E30)/2</f>
        <v>10492</v>
      </c>
      <c r="J9" s="2"/>
      <c r="K9" s="116"/>
      <c r="L9" s="128"/>
    </row>
    <row r="10" spans="1:15" x14ac:dyDescent="0.2">
      <c r="A10" t="s">
        <v>180</v>
      </c>
      <c r="B10" s="2">
        <v>-8361</v>
      </c>
      <c r="C10" s="2">
        <v>-7355</v>
      </c>
      <c r="D10" s="2"/>
      <c r="E10" s="2"/>
      <c r="F10" s="2"/>
      <c r="H10" s="220" t="s">
        <v>166</v>
      </c>
      <c r="I10" s="2">
        <f>(D28+F28)/2</f>
        <v>40301</v>
      </c>
      <c r="J10" s="2"/>
      <c r="K10" s="116"/>
      <c r="L10" s="128"/>
      <c r="N10" s="54" t="s">
        <v>90</v>
      </c>
      <c r="O10" s="66">
        <v>0.14499999999999999</v>
      </c>
    </row>
    <row r="11" spans="1:15" x14ac:dyDescent="0.2">
      <c r="A11" t="s">
        <v>181</v>
      </c>
      <c r="B11" s="2">
        <v>-651</v>
      </c>
      <c r="C11" s="2">
        <v>-486</v>
      </c>
      <c r="D11" s="2"/>
      <c r="E11" s="2"/>
      <c r="F11" s="2"/>
      <c r="H11" s="39"/>
      <c r="I11" s="2"/>
      <c r="J11" s="2"/>
    </row>
    <row r="12" spans="1:15" ht="18" x14ac:dyDescent="0.25">
      <c r="A12" s="15" t="s">
        <v>182</v>
      </c>
      <c r="B12" s="19">
        <v>31</v>
      </c>
      <c r="C12" s="19">
        <v>227</v>
      </c>
      <c r="D12" s="2"/>
      <c r="E12" s="2"/>
      <c r="F12" s="2"/>
      <c r="H12" s="113" t="s">
        <v>12</v>
      </c>
      <c r="K12" s="115"/>
      <c r="L12" s="127"/>
      <c r="N12" t="s">
        <v>91</v>
      </c>
      <c r="O12" s="50">
        <f>O10-O4</f>
        <v>7.9999999999999988E-2</v>
      </c>
    </row>
    <row r="13" spans="1:15" x14ac:dyDescent="0.2">
      <c r="A13" t="s">
        <v>103</v>
      </c>
      <c r="B13" s="2">
        <f>B8+SUM(B10:B12)</f>
        <v>6392</v>
      </c>
      <c r="C13" s="2">
        <f>C8+SUM(C10:C12)</f>
        <v>4470</v>
      </c>
      <c r="D13" s="2"/>
      <c r="E13" s="2"/>
      <c r="F13" s="2"/>
      <c r="H13" s="101" t="s">
        <v>205</v>
      </c>
      <c r="I13" s="52" t="s">
        <v>442</v>
      </c>
      <c r="J13" s="253"/>
      <c r="K13" s="117"/>
      <c r="L13" s="129"/>
      <c r="N13" t="s">
        <v>92</v>
      </c>
      <c r="O13" s="25">
        <f>O8/O7</f>
        <v>0.5</v>
      </c>
    </row>
    <row r="14" spans="1:15" x14ac:dyDescent="0.2">
      <c r="E14" s="2"/>
      <c r="F14" s="2"/>
      <c r="H14" s="220" t="s">
        <v>107</v>
      </c>
      <c r="I14" s="84">
        <f>B17/I6</f>
        <v>0.20712045585052344</v>
      </c>
      <c r="J14" s="84"/>
      <c r="K14" s="117"/>
      <c r="L14" s="129"/>
      <c r="N14" s="54" t="s">
        <v>93</v>
      </c>
      <c r="O14" s="66">
        <f>O12*O13</f>
        <v>3.9999999999999994E-2</v>
      </c>
    </row>
    <row r="15" spans="1:15" x14ac:dyDescent="0.2">
      <c r="A15" t="s">
        <v>204</v>
      </c>
      <c r="B15" s="2">
        <v>81</v>
      </c>
      <c r="C15" s="2">
        <v>151</v>
      </c>
      <c r="E15" s="2"/>
      <c r="F15" s="2"/>
      <c r="H15" s="220" t="s">
        <v>481</v>
      </c>
      <c r="I15" s="84">
        <f>(B17+B19)/I6</f>
        <v>0.16569636468041873</v>
      </c>
      <c r="J15" s="84"/>
      <c r="K15" s="117"/>
      <c r="L15" s="129"/>
    </row>
    <row r="16" spans="1:15" x14ac:dyDescent="0.2">
      <c r="A16" s="15" t="s">
        <v>140</v>
      </c>
      <c r="B16" s="19">
        <v>-1784</v>
      </c>
      <c r="C16" s="19">
        <v>-1209</v>
      </c>
      <c r="D16" s="2"/>
      <c r="E16" s="2"/>
      <c r="F16" s="2"/>
      <c r="H16" s="220" t="s">
        <v>479</v>
      </c>
      <c r="I16" s="84">
        <f>(B17-B16)/I4</f>
        <v>0.11224401324801887</v>
      </c>
      <c r="J16" s="84"/>
      <c r="K16" s="117"/>
      <c r="L16" s="129"/>
      <c r="N16" s="54" t="s">
        <v>88</v>
      </c>
      <c r="O16" s="66">
        <f>(O10+O14)*(1-0.28)</f>
        <v>0.13319999999999999</v>
      </c>
    </row>
    <row r="17" spans="1:19" x14ac:dyDescent="0.2">
      <c r="A17" s="220" t="s">
        <v>82</v>
      </c>
      <c r="B17" s="2">
        <f>B13+B15+B16</f>
        <v>4689</v>
      </c>
      <c r="C17" s="2">
        <f>C13+C15+C16</f>
        <v>3412</v>
      </c>
      <c r="D17" s="2"/>
      <c r="E17" s="2"/>
      <c r="F17" s="2"/>
      <c r="H17" s="220" t="s">
        <v>478</v>
      </c>
      <c r="I17" s="84">
        <f>(B17-B16)/I5</f>
        <v>0.14481632287798113</v>
      </c>
      <c r="J17" s="84"/>
      <c r="K17" s="117"/>
      <c r="L17" s="129"/>
    </row>
    <row r="18" spans="1:19" x14ac:dyDescent="0.2">
      <c r="E18" s="2"/>
      <c r="F18" s="2"/>
      <c r="H18" s="220" t="s">
        <v>477</v>
      </c>
      <c r="I18" s="84">
        <f>-B16/I7</f>
        <v>8.0874019674509273E-2</v>
      </c>
      <c r="J18" s="84"/>
      <c r="K18" s="118"/>
      <c r="L18" s="130"/>
      <c r="N18" t="s">
        <v>94</v>
      </c>
      <c r="O18" s="1">
        <f>1-O6</f>
        <v>0.7</v>
      </c>
    </row>
    <row r="19" spans="1:19" x14ac:dyDescent="0.2">
      <c r="A19" t="s">
        <v>183</v>
      </c>
      <c r="B19" s="2">
        <f>-$B$3*B17</f>
        <v>-937.80000000000007</v>
      </c>
      <c r="C19" s="2">
        <f>-$B$3*C17</f>
        <v>-682.40000000000009</v>
      </c>
      <c r="E19" s="2"/>
      <c r="F19" s="2"/>
      <c r="H19" s="220" t="s">
        <v>476</v>
      </c>
      <c r="I19" s="14">
        <f>I7/I6</f>
        <v>0.97438049383806702</v>
      </c>
      <c r="J19" s="14"/>
      <c r="K19" s="119"/>
      <c r="L19" s="131"/>
    </row>
    <row r="20" spans="1:19" x14ac:dyDescent="0.2">
      <c r="A20" s="221" t="s">
        <v>184</v>
      </c>
      <c r="B20" s="19">
        <v>-42</v>
      </c>
      <c r="C20" s="19">
        <v>-28</v>
      </c>
      <c r="E20" s="2"/>
      <c r="F20" s="2"/>
      <c r="H20" s="220" t="s">
        <v>480</v>
      </c>
      <c r="I20" s="254">
        <f>(I16-I18)*I19</f>
        <v>3.0566309829853273E-2</v>
      </c>
      <c r="J20" s="102"/>
      <c r="K20" s="120"/>
      <c r="L20" s="132"/>
      <c r="N20" s="38" t="s">
        <v>95</v>
      </c>
      <c r="O20" s="67">
        <f>O16*O18</f>
        <v>9.323999999999999E-2</v>
      </c>
    </row>
    <row r="21" spans="1:19" x14ac:dyDescent="0.2">
      <c r="A21" t="s">
        <v>108</v>
      </c>
      <c r="B21" s="2">
        <f>B17+SUM(B19:B20)</f>
        <v>3709.2</v>
      </c>
      <c r="C21" s="2">
        <f>C17+SUM(C19:C20)</f>
        <v>2701.6</v>
      </c>
      <c r="E21" s="2"/>
      <c r="F21" s="2"/>
      <c r="H21" t="s">
        <v>109</v>
      </c>
      <c r="I21" s="50">
        <f>I17+(I17-I18)*I19</f>
        <v>0.20712045585052347</v>
      </c>
      <c r="J21" s="50"/>
      <c r="K21" s="120"/>
      <c r="L21" s="132"/>
    </row>
    <row r="22" spans="1:19" x14ac:dyDescent="0.2">
      <c r="B22" s="2"/>
      <c r="C22" s="2"/>
      <c r="D22" s="2"/>
      <c r="E22" s="2"/>
      <c r="F22" s="2"/>
      <c r="H22" s="15" t="s">
        <v>110</v>
      </c>
      <c r="I22" s="103">
        <f>(I17+(I17-I18)*I19)*(1-B3)</f>
        <v>0.16569636468041879</v>
      </c>
      <c r="J22" s="50"/>
      <c r="K22" s="120"/>
      <c r="L22" s="132"/>
      <c r="N22" t="s">
        <v>96</v>
      </c>
      <c r="O22" s="67">
        <f>(0.145+(0.145-0.065)*(50/100))*(1-0.28)*(1-0.3)</f>
        <v>9.323999999999999E-2</v>
      </c>
    </row>
    <row r="23" spans="1:19" ht="15.75" x14ac:dyDescent="0.25">
      <c r="A23" s="98" t="s">
        <v>55</v>
      </c>
      <c r="I23" s="50"/>
      <c r="J23" s="50"/>
    </row>
    <row r="24" spans="1:19" ht="18" x14ac:dyDescent="0.25">
      <c r="A24" s="54" t="s">
        <v>185</v>
      </c>
      <c r="B24" s="54"/>
      <c r="C24" s="171" t="s">
        <v>443</v>
      </c>
      <c r="D24" s="54"/>
      <c r="E24" s="171" t="s">
        <v>444</v>
      </c>
      <c r="F24" s="54"/>
      <c r="H24" s="113" t="s">
        <v>15</v>
      </c>
      <c r="K24" s="115"/>
      <c r="L24" s="127"/>
    </row>
    <row r="25" spans="1:19" ht="15" x14ac:dyDescent="0.2">
      <c r="A25" s="99" t="s">
        <v>41</v>
      </c>
      <c r="B25" s="54"/>
      <c r="C25" s="54"/>
      <c r="D25" s="54"/>
      <c r="E25" s="54"/>
      <c r="F25" s="54"/>
      <c r="H25" s="101" t="s">
        <v>206</v>
      </c>
      <c r="I25" s="52" t="s">
        <v>442</v>
      </c>
      <c r="J25" s="253"/>
      <c r="K25" s="120"/>
      <c r="L25" s="132"/>
    </row>
    <row r="26" spans="1:19" x14ac:dyDescent="0.2">
      <c r="A26" s="9" t="s">
        <v>166</v>
      </c>
      <c r="B26" t="s">
        <v>171</v>
      </c>
      <c r="C26" s="2">
        <v>20792</v>
      </c>
      <c r="E26" s="2">
        <v>18851</v>
      </c>
      <c r="H26" t="s">
        <v>89</v>
      </c>
      <c r="I26" s="50">
        <f>(B13+B15)/B6</f>
        <v>0.13912351967674683</v>
      </c>
      <c r="J26" s="50"/>
      <c r="K26" s="121"/>
      <c r="L26" s="133"/>
    </row>
    <row r="27" spans="1:19" x14ac:dyDescent="0.2">
      <c r="B27" t="s">
        <v>172</v>
      </c>
      <c r="C27" s="2">
        <f>15225+4908</f>
        <v>20133</v>
      </c>
      <c r="E27" s="2">
        <f>11699+4882</f>
        <v>16581</v>
      </c>
      <c r="H27" t="s">
        <v>472</v>
      </c>
      <c r="I27" s="25">
        <f>B6/I5</f>
        <v>1.040919056781064</v>
      </c>
      <c r="J27" s="25"/>
      <c r="K27" s="120"/>
      <c r="L27" s="132"/>
    </row>
    <row r="28" spans="1:19" x14ac:dyDescent="0.2">
      <c r="A28" s="15"/>
      <c r="B28" s="15" t="s">
        <v>173</v>
      </c>
      <c r="C28" s="19">
        <v>2124</v>
      </c>
      <c r="D28" s="19">
        <f>SUM(C26:C28)</f>
        <v>43049</v>
      </c>
      <c r="E28" s="19">
        <v>2121</v>
      </c>
      <c r="F28" s="19">
        <f>SUM(E26:E28)</f>
        <v>37553</v>
      </c>
      <c r="H28" s="15" t="s">
        <v>111</v>
      </c>
      <c r="I28" s="103">
        <f>I26*I27</f>
        <v>0.1448163228779811</v>
      </c>
      <c r="J28" s="50"/>
      <c r="K28" s="120"/>
      <c r="L28" s="132"/>
    </row>
    <row r="29" spans="1:19" x14ac:dyDescent="0.2">
      <c r="A29" s="9" t="s">
        <v>143</v>
      </c>
      <c r="B29" t="s">
        <v>174</v>
      </c>
      <c r="C29" s="2">
        <v>5881</v>
      </c>
      <c r="E29" s="2">
        <v>5348</v>
      </c>
      <c r="I29" s="50"/>
      <c r="J29" s="50"/>
      <c r="S29" s="39"/>
    </row>
    <row r="30" spans="1:19" ht="18" x14ac:dyDescent="0.25">
      <c r="B30" t="s">
        <v>374</v>
      </c>
      <c r="C30" s="2">
        <v>11521</v>
      </c>
      <c r="E30" s="2">
        <v>9463</v>
      </c>
      <c r="H30" s="113" t="s">
        <v>16</v>
      </c>
      <c r="K30" s="115"/>
      <c r="L30" s="127"/>
      <c r="S30" s="40"/>
    </row>
    <row r="31" spans="1:19" x14ac:dyDescent="0.2">
      <c r="B31" t="s">
        <v>194</v>
      </c>
      <c r="C31" s="2">
        <v>296</v>
      </c>
      <c r="E31" s="2">
        <v>242</v>
      </c>
      <c r="H31" s="101" t="s">
        <v>113</v>
      </c>
      <c r="I31" s="52" t="s">
        <v>442</v>
      </c>
      <c r="J31" s="253"/>
      <c r="K31" s="117"/>
      <c r="L31" s="129"/>
      <c r="N31" s="2">
        <f>B17+B19</f>
        <v>3751.2</v>
      </c>
      <c r="S31" s="40"/>
    </row>
    <row r="32" spans="1:19" x14ac:dyDescent="0.2">
      <c r="A32" s="15"/>
      <c r="B32" s="15" t="s">
        <v>195</v>
      </c>
      <c r="C32" s="19">
        <v>941</v>
      </c>
      <c r="D32" s="19">
        <f>SUM(C29:C32)</f>
        <v>18639</v>
      </c>
      <c r="E32" s="19">
        <v>1044</v>
      </c>
      <c r="F32" s="19">
        <f>SUM(E29:E32)</f>
        <v>16097</v>
      </c>
      <c r="H32" t="s">
        <v>114</v>
      </c>
      <c r="I32" s="84">
        <f>(D32-C29)/D54</f>
        <v>0.65902164367994209</v>
      </c>
      <c r="J32" s="84"/>
      <c r="K32" s="117"/>
      <c r="L32" s="129"/>
      <c r="S32" s="40"/>
    </row>
    <row r="33" spans="1:20" x14ac:dyDescent="0.2">
      <c r="A33" t="s">
        <v>170</v>
      </c>
      <c r="C33" s="2"/>
      <c r="D33" s="2">
        <f>D28+D32</f>
        <v>61688</v>
      </c>
      <c r="E33" s="2"/>
      <c r="F33" s="2">
        <f>F28+F32</f>
        <v>53650</v>
      </c>
      <c r="H33" t="s">
        <v>115</v>
      </c>
      <c r="I33" s="84">
        <f>D32/D54</f>
        <v>0.96280799628079961</v>
      </c>
      <c r="J33" s="84"/>
      <c r="K33" s="122"/>
      <c r="L33" s="134"/>
      <c r="S33" s="40"/>
    </row>
    <row r="34" spans="1:20" ht="15" x14ac:dyDescent="0.2">
      <c r="A34" s="100" t="s">
        <v>186</v>
      </c>
      <c r="B34" s="15"/>
      <c r="C34" s="19"/>
      <c r="D34" s="19"/>
      <c r="E34" s="19"/>
      <c r="F34" s="19"/>
      <c r="H34" t="s">
        <v>117</v>
      </c>
      <c r="I34" s="104">
        <f>(D40+D41)/D55</f>
        <v>0.39231292958111791</v>
      </c>
      <c r="J34" s="104"/>
      <c r="K34" s="117"/>
      <c r="L34" s="129"/>
      <c r="N34">
        <f>3709+42</f>
        <v>3751</v>
      </c>
      <c r="S34" s="40"/>
    </row>
    <row r="35" spans="1:20" x14ac:dyDescent="0.2">
      <c r="A35" s="9" t="s">
        <v>102</v>
      </c>
      <c r="B35" s="9" t="s">
        <v>49</v>
      </c>
      <c r="H35" t="s">
        <v>118</v>
      </c>
      <c r="I35" s="84">
        <f>(D40+D41)/(C43+C48+C52+D40+D41)</f>
        <v>0.50727341326402275</v>
      </c>
      <c r="J35" s="84"/>
      <c r="K35" s="117"/>
      <c r="L35" s="129"/>
      <c r="S35" s="40"/>
    </row>
    <row r="36" spans="1:20" x14ac:dyDescent="0.2">
      <c r="B36" t="s">
        <v>196</v>
      </c>
      <c r="C36" s="2">
        <v>1048</v>
      </c>
      <c r="E36" s="2">
        <v>1048</v>
      </c>
      <c r="I36" s="84"/>
      <c r="J36" s="84"/>
      <c r="K36" s="123"/>
      <c r="L36" s="135"/>
      <c r="S36" s="40"/>
    </row>
    <row r="37" spans="1:20" x14ac:dyDescent="0.2">
      <c r="B37" t="s">
        <v>197</v>
      </c>
      <c r="C37" s="2">
        <v>10484</v>
      </c>
      <c r="E37" s="2">
        <v>9815</v>
      </c>
      <c r="H37" s="101" t="s">
        <v>113</v>
      </c>
      <c r="I37" s="52" t="s">
        <v>442</v>
      </c>
      <c r="J37" s="253"/>
      <c r="K37" s="115"/>
      <c r="L37" s="127"/>
      <c r="S37" s="220" t="s">
        <v>82</v>
      </c>
      <c r="T37" s="2">
        <v>4689</v>
      </c>
    </row>
    <row r="38" spans="1:20" x14ac:dyDescent="0.2">
      <c r="B38" s="9" t="s">
        <v>50</v>
      </c>
      <c r="H38" t="s">
        <v>438</v>
      </c>
      <c r="I38" s="229">
        <f>-B7/I8</f>
        <v>5.5488467361296641</v>
      </c>
      <c r="J38" s="229"/>
      <c r="K38" s="124"/>
      <c r="L38" s="136"/>
      <c r="S38" t="s">
        <v>183</v>
      </c>
      <c r="T38" s="2">
        <v>-937.80000000000007</v>
      </c>
    </row>
    <row r="39" spans="1:20" x14ac:dyDescent="0.2">
      <c r="B39" t="s">
        <v>198</v>
      </c>
      <c r="C39" s="2">
        <v>9526</v>
      </c>
      <c r="E39" s="2">
        <v>7775</v>
      </c>
      <c r="H39" t="s">
        <v>439</v>
      </c>
      <c r="I39" s="230">
        <f>365/I38</f>
        <v>65.779434422546061</v>
      </c>
      <c r="J39" s="230"/>
      <c r="K39" s="116"/>
      <c r="L39" s="128"/>
      <c r="S39" t="s">
        <v>108</v>
      </c>
      <c r="T39" s="2">
        <f>SUM(T37:T38)</f>
        <v>3751.2</v>
      </c>
    </row>
    <row r="40" spans="1:20" x14ac:dyDescent="0.2">
      <c r="A40" s="15"/>
      <c r="B40" s="15" t="s">
        <v>108</v>
      </c>
      <c r="C40" s="19">
        <v>2924</v>
      </c>
      <c r="D40" s="19">
        <f>C36+C37+C39+C40</f>
        <v>23982</v>
      </c>
      <c r="E40" s="19">
        <v>2247</v>
      </c>
      <c r="F40" s="19">
        <f>E36+E37+E39+E40</f>
        <v>20885</v>
      </c>
      <c r="H40" t="s">
        <v>440</v>
      </c>
      <c r="I40" s="229">
        <f>B6*1.25/I9</f>
        <v>5.5431519252764012</v>
      </c>
      <c r="J40" s="229"/>
      <c r="K40" s="125"/>
      <c r="L40" s="137"/>
    </row>
    <row r="41" spans="1:20" x14ac:dyDescent="0.2">
      <c r="A41" s="9" t="s">
        <v>187</v>
      </c>
      <c r="D41">
        <v>219</v>
      </c>
      <c r="F41">
        <v>192</v>
      </c>
      <c r="H41" t="s">
        <v>441</v>
      </c>
      <c r="I41" s="230">
        <f>365/I40</f>
        <v>65.84701356201775</v>
      </c>
      <c r="J41" s="230"/>
      <c r="K41" s="125"/>
      <c r="L41" s="137"/>
    </row>
    <row r="42" spans="1:20" x14ac:dyDescent="0.2">
      <c r="A42" s="9" t="s">
        <v>175</v>
      </c>
      <c r="B42" s="9" t="s">
        <v>199</v>
      </c>
    </row>
    <row r="43" spans="1:20" ht="18" x14ac:dyDescent="0.25">
      <c r="B43" t="s">
        <v>200</v>
      </c>
      <c r="C43" s="2">
        <v>1521</v>
      </c>
      <c r="E43" s="2">
        <v>1450</v>
      </c>
      <c r="H43" s="113" t="s">
        <v>576</v>
      </c>
      <c r="I43" s="89"/>
      <c r="J43" s="89"/>
    </row>
    <row r="44" spans="1:20" x14ac:dyDescent="0.2">
      <c r="B44" s="9" t="s">
        <v>201</v>
      </c>
      <c r="H44" s="101" t="s">
        <v>120</v>
      </c>
      <c r="I44" s="52" t="s">
        <v>442</v>
      </c>
      <c r="J44" s="253"/>
    </row>
    <row r="45" spans="1:20" x14ac:dyDescent="0.2">
      <c r="B45" s="39" t="s">
        <v>202</v>
      </c>
      <c r="C45" s="2">
        <v>3242</v>
      </c>
      <c r="E45" s="2">
        <v>3031</v>
      </c>
      <c r="H45" s="40" t="s">
        <v>85</v>
      </c>
      <c r="I45" s="40">
        <v>0.4</v>
      </c>
      <c r="J45" s="39"/>
    </row>
    <row r="46" spans="1:20" x14ac:dyDescent="0.2">
      <c r="A46" s="15"/>
      <c r="B46" s="40" t="s">
        <v>203</v>
      </c>
      <c r="C46" s="19">
        <v>1084</v>
      </c>
      <c r="D46" s="19">
        <f>C43+C45+C46</f>
        <v>5847</v>
      </c>
      <c r="E46" s="15">
        <v>843</v>
      </c>
      <c r="F46" s="19">
        <f>E43+E45+E46</f>
        <v>5324</v>
      </c>
      <c r="H46" s="39" t="s">
        <v>86</v>
      </c>
      <c r="I46" s="2">
        <f>I6</f>
        <v>22639</v>
      </c>
      <c r="J46" s="2"/>
    </row>
    <row r="47" spans="1:20" x14ac:dyDescent="0.2">
      <c r="A47" s="9" t="s">
        <v>146</v>
      </c>
      <c r="B47" s="9" t="s">
        <v>188</v>
      </c>
      <c r="C47" s="2"/>
      <c r="E47" s="2"/>
      <c r="F47" s="2"/>
      <c r="H47" s="40" t="s">
        <v>88</v>
      </c>
      <c r="I47" s="336">
        <f>I15</f>
        <v>0.16569636468041873</v>
      </c>
      <c r="J47" s="328" t="s">
        <v>560</v>
      </c>
    </row>
    <row r="48" spans="1:20" x14ac:dyDescent="0.2">
      <c r="B48" t="s">
        <v>189</v>
      </c>
      <c r="C48" s="2">
        <v>11999</v>
      </c>
      <c r="E48" s="2">
        <v>10969</v>
      </c>
      <c r="F48" s="2"/>
      <c r="H48" s="40" t="s">
        <v>120</v>
      </c>
      <c r="I48" s="337">
        <f>I47*(1-I45)</f>
        <v>9.9417818808251235E-2</v>
      </c>
      <c r="J48" s="328" t="s">
        <v>560</v>
      </c>
    </row>
    <row r="49" spans="1:8" x14ac:dyDescent="0.2">
      <c r="B49" s="9" t="s">
        <v>190</v>
      </c>
      <c r="C49" s="2"/>
      <c r="E49" s="2"/>
      <c r="F49" s="2"/>
    </row>
    <row r="50" spans="1:8" x14ac:dyDescent="0.2">
      <c r="A50" s="15"/>
      <c r="B50" s="15" t="s">
        <v>192</v>
      </c>
      <c r="C50" s="19">
        <v>282</v>
      </c>
      <c r="D50" s="19">
        <f>C48+C50</f>
        <v>12281</v>
      </c>
      <c r="E50" s="19">
        <v>334</v>
      </c>
      <c r="F50" s="19">
        <f>E48+E50</f>
        <v>11303</v>
      </c>
    </row>
    <row r="51" spans="1:8" x14ac:dyDescent="0.2">
      <c r="A51" s="9" t="s">
        <v>176</v>
      </c>
      <c r="B51" s="9" t="s">
        <v>188</v>
      </c>
    </row>
    <row r="52" spans="1:8" x14ac:dyDescent="0.2">
      <c r="B52" t="s">
        <v>189</v>
      </c>
      <c r="C52" s="2">
        <v>9987</v>
      </c>
      <c r="E52" s="2">
        <v>8192</v>
      </c>
      <c r="F52" s="2"/>
      <c r="G52" s="2"/>
    </row>
    <row r="53" spans="1:8" x14ac:dyDescent="0.2">
      <c r="B53" s="9" t="s">
        <v>190</v>
      </c>
    </row>
    <row r="54" spans="1:8" x14ac:dyDescent="0.2">
      <c r="A54" s="15"/>
      <c r="B54" s="15" t="s">
        <v>191</v>
      </c>
      <c r="C54" s="19">
        <v>9372</v>
      </c>
      <c r="D54" s="19">
        <f>C52+C54</f>
        <v>19359</v>
      </c>
      <c r="E54" s="19">
        <v>7754</v>
      </c>
      <c r="F54" s="19">
        <f>E52+E54</f>
        <v>15946</v>
      </c>
    </row>
    <row r="55" spans="1:8" x14ac:dyDescent="0.2">
      <c r="A55" s="9" t="s">
        <v>193</v>
      </c>
      <c r="D55" s="2">
        <f>D40+D41+D46+D50+D54</f>
        <v>61688</v>
      </c>
      <c r="F55" s="2">
        <f>F40+F41+F46+F50+F54</f>
        <v>53650</v>
      </c>
    </row>
    <row r="56" spans="1:8" x14ac:dyDescent="0.2">
      <c r="F56" s="2"/>
      <c r="G56" s="2"/>
    </row>
    <row r="59" spans="1:8" x14ac:dyDescent="0.2">
      <c r="A59" s="312" t="s">
        <v>524</v>
      </c>
      <c r="B59" s="312"/>
      <c r="C59" s="312"/>
      <c r="D59" s="312"/>
      <c r="E59" s="312"/>
      <c r="F59" s="312"/>
      <c r="G59" s="312"/>
      <c r="H59" s="312"/>
    </row>
    <row r="61" spans="1:8" x14ac:dyDescent="0.2">
      <c r="A61" s="220" t="s">
        <v>526</v>
      </c>
    </row>
    <row r="62" spans="1:8" x14ac:dyDescent="0.2">
      <c r="A62" s="220" t="s">
        <v>527</v>
      </c>
    </row>
    <row r="63" spans="1:8" x14ac:dyDescent="0.2">
      <c r="A63" t="s">
        <v>525</v>
      </c>
    </row>
    <row r="64" spans="1:8" x14ac:dyDescent="0.2">
      <c r="B64" s="89"/>
      <c r="C64" s="89"/>
    </row>
    <row r="65" spans="1:3" x14ac:dyDescent="0.2">
      <c r="B65" s="89"/>
      <c r="C65" s="89"/>
    </row>
    <row r="66" spans="1:3" x14ac:dyDescent="0.2">
      <c r="A66" s="220" t="s">
        <v>574</v>
      </c>
    </row>
    <row r="91" spans="1:1" x14ac:dyDescent="0.2">
      <c r="A91" s="39"/>
    </row>
  </sheetData>
  <phoneticPr fontId="0"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61F61-DC35-45F2-9066-91CE1439DFB6}">
  <dimension ref="A1:L53"/>
  <sheetViews>
    <sheetView zoomScale="80" zoomScaleNormal="80" workbookViewId="0">
      <selection activeCell="H27" sqref="H27"/>
    </sheetView>
  </sheetViews>
  <sheetFormatPr defaultColWidth="9.140625" defaultRowHeight="15" x14ac:dyDescent="0.25"/>
  <cols>
    <col min="1" max="1" width="40.28515625" style="231" bestFit="1" customWidth="1"/>
    <col min="2" max="7" width="9.140625" style="231"/>
    <col min="8" max="8" width="32.85546875" style="231" bestFit="1" customWidth="1"/>
    <col min="9" max="9" width="9.85546875" style="231" bestFit="1" customWidth="1"/>
    <col min="10" max="16384" width="9.140625" style="231"/>
  </cols>
  <sheetData>
    <row r="1" spans="1:12" x14ac:dyDescent="0.25">
      <c r="A1" s="236" t="s">
        <v>221</v>
      </c>
    </row>
    <row r="2" spans="1:12" x14ac:dyDescent="0.25">
      <c r="A2" s="342" t="s">
        <v>445</v>
      </c>
    </row>
    <row r="3" spans="1:12" ht="15.75" thickBot="1" x14ac:dyDescent="0.3"/>
    <row r="4" spans="1:12" x14ac:dyDescent="0.25">
      <c r="A4" s="232" t="s">
        <v>446</v>
      </c>
      <c r="B4" s="233"/>
      <c r="C4" s="234">
        <v>2020</v>
      </c>
      <c r="D4" s="234">
        <v>2019</v>
      </c>
      <c r="H4" s="231" t="s">
        <v>101</v>
      </c>
      <c r="I4" s="235">
        <v>106030</v>
      </c>
    </row>
    <row r="5" spans="1:12" x14ac:dyDescent="0.25">
      <c r="A5" s="236" t="s">
        <v>102</v>
      </c>
    </row>
    <row r="6" spans="1:12" x14ac:dyDescent="0.25">
      <c r="A6" s="231" t="s">
        <v>447</v>
      </c>
      <c r="H6" s="237" t="s">
        <v>101</v>
      </c>
      <c r="I6" s="238">
        <v>2020</v>
      </c>
      <c r="J6" s="238">
        <v>2019</v>
      </c>
    </row>
    <row r="7" spans="1:12" x14ac:dyDescent="0.25">
      <c r="A7" s="239" t="s">
        <v>196</v>
      </c>
      <c r="B7" s="239"/>
      <c r="C7" s="240">
        <v>2350</v>
      </c>
      <c r="D7" s="240">
        <v>2350</v>
      </c>
      <c r="F7" s="235"/>
      <c r="H7" s="231" t="str">
        <f>A12</f>
        <v>Summa eget kapital</v>
      </c>
      <c r="I7" s="235">
        <f>C12</f>
        <v>63342</v>
      </c>
      <c r="J7" s="235">
        <f>D12</f>
        <v>62801</v>
      </c>
    </row>
    <row r="8" spans="1:12" x14ac:dyDescent="0.25">
      <c r="A8" s="239" t="s">
        <v>448</v>
      </c>
      <c r="B8" s="239"/>
      <c r="C8" s="240">
        <v>581</v>
      </c>
      <c r="D8" s="240">
        <v>6284</v>
      </c>
      <c r="F8" s="235"/>
      <c r="H8" s="231" t="str">
        <f>A14</f>
        <v>Långfristiga finansiella skulder</v>
      </c>
      <c r="I8" s="235">
        <f>C14</f>
        <v>38202</v>
      </c>
      <c r="J8" s="235">
        <f>D14</f>
        <v>43079</v>
      </c>
    </row>
    <row r="9" spans="1:12" x14ac:dyDescent="0.25">
      <c r="A9" s="239" t="s">
        <v>449</v>
      </c>
      <c r="B9" s="239"/>
      <c r="C9" s="240">
        <v>51421</v>
      </c>
      <c r="D9" s="240">
        <v>45491</v>
      </c>
      <c r="F9" s="235"/>
      <c r="H9" s="231" t="str">
        <f>A15</f>
        <v>Avsättningar för pensioner</v>
      </c>
      <c r="I9" s="235">
        <f>C15</f>
        <v>5328</v>
      </c>
      <c r="J9" s="235">
        <f>D15</f>
        <v>5866</v>
      </c>
    </row>
    <row r="10" spans="1:12" x14ac:dyDescent="0.25">
      <c r="C10" s="241">
        <f>SUM(C7:C9)</f>
        <v>54352</v>
      </c>
      <c r="D10" s="241">
        <f>SUM(D7:D9)</f>
        <v>54125</v>
      </c>
      <c r="F10" s="235"/>
      <c r="H10" s="242" t="str">
        <f>A21</f>
        <v>Kortfristiga finansiella skulder</v>
      </c>
      <c r="I10" s="243">
        <f>C21</f>
        <v>8688</v>
      </c>
      <c r="J10" s="243">
        <f>D21</f>
        <v>8983</v>
      </c>
      <c r="L10" s="231">
        <f>E21</f>
        <v>0</v>
      </c>
    </row>
    <row r="11" spans="1:12" x14ac:dyDescent="0.25">
      <c r="A11" s="244" t="s">
        <v>450</v>
      </c>
      <c r="B11" s="244"/>
      <c r="C11" s="245">
        <v>8990</v>
      </c>
      <c r="D11" s="245">
        <v>8676</v>
      </c>
      <c r="F11" s="235"/>
      <c r="H11" s="236" t="s">
        <v>451</v>
      </c>
      <c r="I11" s="241">
        <f>SUM(I7:I10)</f>
        <v>115560</v>
      </c>
      <c r="J11" s="241">
        <f>SUM(J7:J10)</f>
        <v>120729</v>
      </c>
    </row>
    <row r="12" spans="1:12" ht="15.75" thickBot="1" x14ac:dyDescent="0.3">
      <c r="A12" s="246" t="s">
        <v>51</v>
      </c>
      <c r="B12" s="246"/>
      <c r="C12" s="247">
        <f>SUM(C10:C11)</f>
        <v>63342</v>
      </c>
      <c r="D12" s="247">
        <f>SUM(D10:D11)</f>
        <v>62801</v>
      </c>
      <c r="F12" s="235"/>
      <c r="H12" s="236" t="s">
        <v>452</v>
      </c>
      <c r="I12" s="241">
        <f>(I11+J11)/2</f>
        <v>118144.5</v>
      </c>
      <c r="J12" s="235"/>
    </row>
    <row r="13" spans="1:12" x14ac:dyDescent="0.25">
      <c r="A13" s="237" t="s">
        <v>146</v>
      </c>
      <c r="B13" s="237"/>
      <c r="C13" s="248"/>
      <c r="D13" s="248"/>
    </row>
    <row r="14" spans="1:12" x14ac:dyDescent="0.25">
      <c r="A14" s="249" t="s">
        <v>453</v>
      </c>
      <c r="B14" s="249"/>
      <c r="C14" s="250">
        <v>38202</v>
      </c>
      <c r="D14" s="250">
        <v>43079</v>
      </c>
      <c r="F14" s="235"/>
      <c r="H14" s="231" t="s">
        <v>103</v>
      </c>
      <c r="I14" s="235">
        <v>16758</v>
      </c>
    </row>
    <row r="15" spans="1:12" x14ac:dyDescent="0.25">
      <c r="A15" s="239" t="s">
        <v>454</v>
      </c>
      <c r="B15" s="239"/>
      <c r="C15" s="240">
        <v>5328</v>
      </c>
      <c r="D15" s="240">
        <v>5866</v>
      </c>
      <c r="F15" s="235"/>
      <c r="H15" s="231" t="s">
        <v>455</v>
      </c>
      <c r="I15" s="231">
        <v>108</v>
      </c>
    </row>
    <row r="16" spans="1:12" x14ac:dyDescent="0.25">
      <c r="A16" s="239" t="s">
        <v>456</v>
      </c>
      <c r="B16" s="239"/>
      <c r="C16" s="240">
        <v>6150</v>
      </c>
      <c r="D16" s="240">
        <v>6545</v>
      </c>
      <c r="F16" s="235"/>
      <c r="H16" s="236" t="s">
        <v>139</v>
      </c>
      <c r="I16" s="241">
        <f>SUM(I14:I15)</f>
        <v>16866</v>
      </c>
    </row>
    <row r="17" spans="1:10" x14ac:dyDescent="0.25">
      <c r="A17" s="239" t="s">
        <v>457</v>
      </c>
      <c r="B17" s="239"/>
      <c r="C17" s="240">
        <v>445</v>
      </c>
      <c r="D17" s="240">
        <v>541</v>
      </c>
    </row>
    <row r="18" spans="1:10" x14ac:dyDescent="0.25">
      <c r="A18" s="231" t="s">
        <v>458</v>
      </c>
      <c r="C18" s="235">
        <v>105</v>
      </c>
      <c r="D18" s="235">
        <v>183</v>
      </c>
      <c r="H18" s="236" t="s">
        <v>459</v>
      </c>
      <c r="I18" s="251">
        <f>I16/I12</f>
        <v>0.14275738608229752</v>
      </c>
    </row>
    <row r="19" spans="1:10" ht="15.75" thickBot="1" x14ac:dyDescent="0.3">
      <c r="A19" s="246" t="s">
        <v>460</v>
      </c>
      <c r="B19" s="246"/>
      <c r="C19" s="247">
        <f>SUM(C14:C18)</f>
        <v>50230</v>
      </c>
      <c r="D19" s="247">
        <f>SUM(D14:D18)</f>
        <v>56214</v>
      </c>
      <c r="F19" s="235"/>
      <c r="I19" s="235"/>
      <c r="J19" s="235"/>
    </row>
    <row r="20" spans="1:10" x14ac:dyDescent="0.25">
      <c r="A20" s="231" t="s">
        <v>176</v>
      </c>
      <c r="C20" s="235"/>
      <c r="D20" s="235"/>
      <c r="I20" s="252"/>
      <c r="J20" s="252"/>
    </row>
    <row r="21" spans="1:10" x14ac:dyDescent="0.25">
      <c r="A21" s="239" t="s">
        <v>461</v>
      </c>
      <c r="B21" s="239"/>
      <c r="C21" s="240">
        <v>8688</v>
      </c>
      <c r="D21" s="240">
        <v>8983</v>
      </c>
      <c r="F21" s="235"/>
    </row>
    <row r="22" spans="1:10" x14ac:dyDescent="0.25">
      <c r="A22" s="239" t="s">
        <v>147</v>
      </c>
      <c r="B22" s="239"/>
      <c r="C22" s="240">
        <v>14791</v>
      </c>
      <c r="D22" s="240">
        <v>15802</v>
      </c>
      <c r="F22" s="235"/>
      <c r="I22" s="235"/>
    </row>
    <row r="23" spans="1:10" x14ac:dyDescent="0.25">
      <c r="A23" s="239" t="s">
        <v>462</v>
      </c>
      <c r="B23" s="239"/>
      <c r="C23" s="240">
        <v>2301</v>
      </c>
      <c r="D23" s="240">
        <v>2432</v>
      </c>
      <c r="F23" s="235"/>
    </row>
    <row r="24" spans="1:10" x14ac:dyDescent="0.25">
      <c r="A24" s="239" t="s">
        <v>463</v>
      </c>
      <c r="B24" s="239"/>
      <c r="C24" s="240">
        <v>748</v>
      </c>
      <c r="D24" s="240">
        <v>1065</v>
      </c>
      <c r="F24" s="235"/>
    </row>
    <row r="25" spans="1:10" x14ac:dyDescent="0.25">
      <c r="A25" s="239" t="s">
        <v>464</v>
      </c>
      <c r="B25" s="239"/>
      <c r="C25" s="240">
        <v>14545</v>
      </c>
      <c r="D25" s="240">
        <v>14998</v>
      </c>
      <c r="F25" s="235"/>
    </row>
    <row r="26" spans="1:10" x14ac:dyDescent="0.25">
      <c r="A26" s="236" t="s">
        <v>465</v>
      </c>
      <c r="B26" s="236"/>
      <c r="C26" s="241">
        <f>SUM(C21:C25)</f>
        <v>41073</v>
      </c>
      <c r="D26" s="241">
        <f>SUM(D21:D25)</f>
        <v>43280</v>
      </c>
      <c r="F26" s="235"/>
    </row>
    <row r="27" spans="1:10" x14ac:dyDescent="0.25">
      <c r="A27" s="236" t="s">
        <v>53</v>
      </c>
      <c r="B27" s="236"/>
      <c r="C27" s="241">
        <f>C19+C26</f>
        <v>91303</v>
      </c>
      <c r="D27" s="241">
        <f>D19+D26</f>
        <v>99494</v>
      </c>
      <c r="F27" s="235"/>
    </row>
    <row r="28" spans="1:10" ht="15.75" thickBot="1" x14ac:dyDescent="0.3">
      <c r="A28" s="246" t="s">
        <v>193</v>
      </c>
      <c r="B28" s="246"/>
      <c r="C28" s="247">
        <f>C12+C27</f>
        <v>154645</v>
      </c>
      <c r="D28" s="247">
        <f>D12+D27</f>
        <v>162295</v>
      </c>
      <c r="F28" s="235"/>
    </row>
    <row r="32" spans="1:10" x14ac:dyDescent="0.25">
      <c r="A32" s="231" t="s">
        <v>466</v>
      </c>
    </row>
    <row r="34" spans="1:1" x14ac:dyDescent="0.25">
      <c r="A34" s="231" t="s">
        <v>467</v>
      </c>
    </row>
    <row r="36" spans="1:1" x14ac:dyDescent="0.25">
      <c r="A36" s="231" t="s">
        <v>468</v>
      </c>
    </row>
    <row r="53" spans="1:9" ht="18" x14ac:dyDescent="0.25">
      <c r="A53" s="344" t="s">
        <v>611</v>
      </c>
      <c r="B53" s="344"/>
      <c r="C53" s="344"/>
      <c r="D53" s="344"/>
      <c r="E53" s="344"/>
      <c r="F53" s="344"/>
      <c r="G53" s="344"/>
      <c r="H53" s="344"/>
      <c r="I53" s="332"/>
    </row>
  </sheetData>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129E9-D7DA-4A13-A8D5-F3B8E6C1EEA6}">
  <dimension ref="A1:AI62"/>
  <sheetViews>
    <sheetView zoomScaleNormal="100" workbookViewId="0">
      <selection activeCell="N16" sqref="N16"/>
    </sheetView>
  </sheetViews>
  <sheetFormatPr defaultColWidth="9.140625" defaultRowHeight="15" x14ac:dyDescent="0.25"/>
  <cols>
    <col min="1" max="1" width="32.7109375" style="258" customWidth="1"/>
    <col min="2" max="11" width="8.7109375" style="258" customWidth="1"/>
    <col min="12" max="12" width="9.140625" style="258"/>
    <col min="13" max="13" width="38.28515625" style="258" bestFit="1" customWidth="1"/>
    <col min="14" max="14" width="9.85546875" style="258" bestFit="1" customWidth="1"/>
    <col min="15" max="29" width="9.140625" style="258"/>
    <col min="30" max="30" width="32" style="258" bestFit="1" customWidth="1"/>
    <col min="31" max="31" width="9.140625" style="256"/>
    <col min="32" max="33" width="9.140625" style="258"/>
    <col min="34" max="34" width="38.5703125" style="258" bestFit="1" customWidth="1"/>
    <col min="35" max="16384" width="9.140625" style="258"/>
  </cols>
  <sheetData>
    <row r="1" spans="1:35" s="255" customFormat="1" ht="26.25" x14ac:dyDescent="0.4">
      <c r="A1" s="255" t="s">
        <v>482</v>
      </c>
      <c r="AE1" s="256"/>
    </row>
    <row r="2" spans="1:35" x14ac:dyDescent="0.25">
      <c r="A2" s="257" t="s">
        <v>483</v>
      </c>
      <c r="B2" s="257"/>
      <c r="C2" s="257"/>
      <c r="D2" s="257"/>
      <c r="E2" s="257"/>
      <c r="F2" s="257"/>
      <c r="G2" s="276"/>
      <c r="I2" s="273"/>
      <c r="N2" s="256"/>
      <c r="O2" s="256"/>
      <c r="P2" s="256"/>
      <c r="Q2" s="256"/>
      <c r="R2" s="256"/>
      <c r="S2" s="256"/>
      <c r="T2" s="256"/>
      <c r="U2" s="256"/>
      <c r="V2" s="256"/>
      <c r="W2" s="256"/>
    </row>
    <row r="3" spans="1:35" x14ac:dyDescent="0.25">
      <c r="H3" s="273">
        <f>738+(1-0.214)*275</f>
        <v>954.15</v>
      </c>
      <c r="I3" s="273">
        <f>H3+392</f>
        <v>1346.15</v>
      </c>
      <c r="M3" s="258" t="s">
        <v>484</v>
      </c>
      <c r="N3" s="256">
        <v>0.214</v>
      </c>
      <c r="O3" s="256">
        <v>0.22</v>
      </c>
      <c r="P3" s="256">
        <v>0.22</v>
      </c>
      <c r="Q3" s="256">
        <v>0.22</v>
      </c>
      <c r="R3" s="256">
        <v>0.22</v>
      </c>
      <c r="S3" s="256">
        <v>0.22</v>
      </c>
      <c r="T3" s="256">
        <v>0.22</v>
      </c>
      <c r="U3" s="256">
        <v>0.26300000000000001</v>
      </c>
      <c r="V3" s="256">
        <v>0.26300000000000001</v>
      </c>
      <c r="W3" s="256">
        <v>0.26300000000000001</v>
      </c>
      <c r="AD3" s="258" t="s">
        <v>485</v>
      </c>
    </row>
    <row r="4" spans="1:35" x14ac:dyDescent="0.25">
      <c r="A4" s="257" t="s">
        <v>486</v>
      </c>
      <c r="B4" s="257"/>
      <c r="C4" s="257"/>
      <c r="D4" s="257"/>
      <c r="E4" s="257"/>
      <c r="F4" s="257"/>
      <c r="AH4" s="258" t="s">
        <v>487</v>
      </c>
    </row>
    <row r="5" spans="1:35" ht="15.75" x14ac:dyDescent="0.25">
      <c r="A5" s="259" t="s">
        <v>488</v>
      </c>
      <c r="B5" s="260">
        <v>2019</v>
      </c>
      <c r="C5" s="260">
        <v>2018</v>
      </c>
      <c r="D5" s="260">
        <v>2017</v>
      </c>
      <c r="E5" s="260">
        <v>2016</v>
      </c>
      <c r="F5" s="260">
        <v>2015</v>
      </c>
      <c r="G5" s="261">
        <v>2014</v>
      </c>
      <c r="H5" s="261">
        <v>2013</v>
      </c>
      <c r="I5" s="261">
        <v>2012</v>
      </c>
      <c r="J5" s="261">
        <v>2011</v>
      </c>
      <c r="K5" s="261">
        <v>2010</v>
      </c>
      <c r="N5" s="260">
        <v>2019</v>
      </c>
      <c r="O5" s="260">
        <v>2018</v>
      </c>
      <c r="P5" s="260">
        <v>2017</v>
      </c>
      <c r="Q5" s="260">
        <v>2016</v>
      </c>
      <c r="R5" s="260">
        <v>2015</v>
      </c>
      <c r="S5" s="261">
        <v>2014</v>
      </c>
      <c r="T5" s="261">
        <v>2013</v>
      </c>
      <c r="U5" s="261">
        <v>2012</v>
      </c>
      <c r="V5" s="261">
        <v>2011</v>
      </c>
      <c r="W5" s="261">
        <v>2010</v>
      </c>
      <c r="Y5" s="257"/>
      <c r="Z5" s="257"/>
      <c r="AA5" s="257"/>
      <c r="AB5" s="257"/>
      <c r="AD5" s="258">
        <v>2021</v>
      </c>
      <c r="AE5" s="256">
        <v>0.20599999999999999</v>
      </c>
      <c r="AH5" s="258" t="s">
        <v>489</v>
      </c>
      <c r="AI5" s="262" t="s">
        <v>490</v>
      </c>
    </row>
    <row r="6" spans="1:35" x14ac:dyDescent="0.25">
      <c r="A6" s="263" t="s">
        <v>81</v>
      </c>
      <c r="B6" s="264">
        <v>4421</v>
      </c>
      <c r="C6" s="264">
        <v>4042</v>
      </c>
      <c r="D6" s="264">
        <v>4084</v>
      </c>
      <c r="E6" s="264">
        <v>4242</v>
      </c>
      <c r="F6" s="264">
        <v>3944</v>
      </c>
      <c r="G6" s="265">
        <v>3782</v>
      </c>
      <c r="H6" s="265">
        <v>3850</v>
      </c>
      <c r="I6" s="266">
        <v>7147</v>
      </c>
      <c r="J6" s="266">
        <v>3664</v>
      </c>
      <c r="K6" s="266">
        <v>3661</v>
      </c>
      <c r="M6" s="263" t="s">
        <v>105</v>
      </c>
      <c r="N6" s="267">
        <f>B14</f>
        <v>157</v>
      </c>
      <c r="O6" s="267">
        <f t="shared" ref="O6:W6" si="0">C14</f>
        <v>152</v>
      </c>
      <c r="P6" s="267">
        <f t="shared" si="0"/>
        <v>240</v>
      </c>
      <c r="Q6" s="267">
        <f t="shared" si="0"/>
        <v>476</v>
      </c>
      <c r="R6" s="267">
        <f t="shared" si="0"/>
        <v>-16</v>
      </c>
      <c r="S6" s="267">
        <f t="shared" si="0"/>
        <v>-386</v>
      </c>
      <c r="T6" s="267">
        <f t="shared" si="0"/>
        <v>-62</v>
      </c>
      <c r="U6" s="267">
        <f t="shared" si="0"/>
        <v>720</v>
      </c>
      <c r="V6" s="267">
        <f t="shared" si="0"/>
        <v>9</v>
      </c>
      <c r="W6" s="267">
        <f t="shared" si="0"/>
        <v>27</v>
      </c>
      <c r="Y6" s="257"/>
      <c r="Z6" s="257"/>
      <c r="AA6" s="268"/>
      <c r="AB6" s="268"/>
      <c r="AD6" s="258">
        <v>2020</v>
      </c>
      <c r="AE6" s="256">
        <v>0.214</v>
      </c>
      <c r="AH6" s="258" t="s">
        <v>491</v>
      </c>
      <c r="AI6" s="262" t="s">
        <v>492</v>
      </c>
    </row>
    <row r="7" spans="1:35" x14ac:dyDescent="0.25">
      <c r="A7" s="269" t="s">
        <v>493</v>
      </c>
      <c r="B7" s="266">
        <v>-515</v>
      </c>
      <c r="C7" s="266">
        <v>-490</v>
      </c>
      <c r="D7" s="266">
        <v>-434</v>
      </c>
      <c r="E7" s="266">
        <v>-474</v>
      </c>
      <c r="F7" s="266">
        <v>-556</v>
      </c>
      <c r="G7" s="266">
        <v>-401</v>
      </c>
      <c r="H7" s="266">
        <v>-463</v>
      </c>
      <c r="I7" s="266">
        <v>-1070</v>
      </c>
      <c r="J7" s="266">
        <v>-535</v>
      </c>
      <c r="K7" s="266">
        <v>-563</v>
      </c>
      <c r="M7" s="258" t="s">
        <v>494</v>
      </c>
      <c r="N7" s="267">
        <f>B15*N3</f>
        <v>-8.7739999999999991</v>
      </c>
      <c r="O7" s="267">
        <f t="shared" ref="O7:W7" si="1">C15*O3</f>
        <v>-9.4600000000000009</v>
      </c>
      <c r="P7" s="267">
        <f t="shared" si="1"/>
        <v>-14.52</v>
      </c>
      <c r="Q7" s="267">
        <f t="shared" si="1"/>
        <v>-27.5</v>
      </c>
      <c r="R7" s="267">
        <f t="shared" si="1"/>
        <v>0</v>
      </c>
      <c r="S7" s="267">
        <f t="shared" si="1"/>
        <v>61.82</v>
      </c>
      <c r="T7" s="267">
        <f t="shared" si="1"/>
        <v>23.76</v>
      </c>
      <c r="U7" s="267">
        <f t="shared" si="1"/>
        <v>-102.307</v>
      </c>
      <c r="V7" s="267">
        <f t="shared" si="1"/>
        <v>0</v>
      </c>
      <c r="W7" s="267">
        <f t="shared" si="1"/>
        <v>0</v>
      </c>
      <c r="Y7" s="257"/>
      <c r="Z7" s="257"/>
      <c r="AD7" s="258">
        <v>2019</v>
      </c>
      <c r="AE7" s="256">
        <v>0.214</v>
      </c>
    </row>
    <row r="8" spans="1:35" x14ac:dyDescent="0.25">
      <c r="A8" s="269" t="s">
        <v>495</v>
      </c>
      <c r="B8" s="266">
        <v>-1350</v>
      </c>
      <c r="C8" s="266">
        <v>-1270</v>
      </c>
      <c r="D8" s="266">
        <v>-1347</v>
      </c>
      <c r="E8" s="266">
        <v>-1409</v>
      </c>
      <c r="F8" s="266">
        <v>-1336</v>
      </c>
      <c r="G8" s="266">
        <v>-1373</v>
      </c>
      <c r="H8" s="266">
        <v>-1191</v>
      </c>
      <c r="I8" s="266">
        <v>-1946</v>
      </c>
      <c r="J8" s="266">
        <v>-1131</v>
      </c>
      <c r="K8" s="266">
        <v>-1261</v>
      </c>
      <c r="M8" s="258" t="s">
        <v>496</v>
      </c>
      <c r="N8" s="267">
        <f t="shared" ref="N8:W8" si="2">B16</f>
        <v>-27</v>
      </c>
      <c r="O8" s="267">
        <f t="shared" si="2"/>
        <v>-28</v>
      </c>
      <c r="P8" s="267">
        <f t="shared" si="2"/>
        <v>-44</v>
      </c>
      <c r="Q8" s="267">
        <f t="shared" si="2"/>
        <v>-83</v>
      </c>
      <c r="R8" s="267">
        <f t="shared" si="2"/>
        <v>-27</v>
      </c>
      <c r="S8" s="267">
        <f t="shared" si="2"/>
        <v>-4</v>
      </c>
      <c r="T8" s="267">
        <f t="shared" si="2"/>
        <v>-14</v>
      </c>
      <c r="U8" s="267">
        <f t="shared" si="2"/>
        <v>-94</v>
      </c>
      <c r="V8" s="267">
        <f t="shared" si="2"/>
        <v>0</v>
      </c>
      <c r="W8" s="267">
        <f t="shared" si="2"/>
        <v>0</v>
      </c>
      <c r="Y8" s="257"/>
      <c r="Z8" s="257"/>
      <c r="AD8" s="258">
        <v>2018</v>
      </c>
      <c r="AE8" s="256">
        <v>0.22</v>
      </c>
    </row>
    <row r="9" spans="1:35" x14ac:dyDescent="0.25">
      <c r="A9" s="269" t="s">
        <v>497</v>
      </c>
      <c r="B9" s="266">
        <v>-2370</v>
      </c>
      <c r="C9" s="266">
        <v>-2100</v>
      </c>
      <c r="D9" s="266">
        <v>-2036</v>
      </c>
      <c r="E9" s="266">
        <v>-1837</v>
      </c>
      <c r="F9" s="266">
        <v>-1913</v>
      </c>
      <c r="G9" s="266">
        <v>-2209</v>
      </c>
      <c r="H9" s="266">
        <v>-2044</v>
      </c>
      <c r="I9" s="266">
        <v>-3112</v>
      </c>
      <c r="J9" s="266">
        <v>-1780</v>
      </c>
      <c r="K9" s="266">
        <v>-1612</v>
      </c>
      <c r="M9" s="258" t="s">
        <v>498</v>
      </c>
      <c r="N9" s="309">
        <f>SUM(N7:N8)</f>
        <v>-35.774000000000001</v>
      </c>
      <c r="O9" s="267">
        <f t="shared" ref="O9:W9" si="3">SUM(O7:O8)</f>
        <v>-37.46</v>
      </c>
      <c r="P9" s="267">
        <f t="shared" si="3"/>
        <v>-58.519999999999996</v>
      </c>
      <c r="Q9" s="267">
        <f t="shared" si="3"/>
        <v>-110.5</v>
      </c>
      <c r="R9" s="267">
        <f t="shared" si="3"/>
        <v>-27</v>
      </c>
      <c r="S9" s="267">
        <f t="shared" si="3"/>
        <v>57.82</v>
      </c>
      <c r="T9" s="267">
        <f t="shared" si="3"/>
        <v>9.7600000000000016</v>
      </c>
      <c r="U9" s="267">
        <f t="shared" si="3"/>
        <v>-196.30700000000002</v>
      </c>
      <c r="V9" s="267">
        <f t="shared" si="3"/>
        <v>0</v>
      </c>
      <c r="W9" s="267">
        <f t="shared" si="3"/>
        <v>0</v>
      </c>
      <c r="Y9" s="257"/>
      <c r="Z9" s="257"/>
      <c r="AD9" s="258">
        <v>2017</v>
      </c>
      <c r="AE9" s="256">
        <v>0.22</v>
      </c>
    </row>
    <row r="10" spans="1:35" x14ac:dyDescent="0.25">
      <c r="A10" s="269" t="s">
        <v>104</v>
      </c>
      <c r="B10" s="266">
        <v>0</v>
      </c>
      <c r="C10" s="266">
        <v>0</v>
      </c>
      <c r="D10" s="266">
        <v>0</v>
      </c>
      <c r="E10" s="266">
        <v>0</v>
      </c>
      <c r="F10" s="266">
        <v>-58</v>
      </c>
      <c r="G10" s="266">
        <v>-116</v>
      </c>
      <c r="H10" s="266">
        <v>-117</v>
      </c>
      <c r="I10" s="266">
        <v>-179</v>
      </c>
      <c r="J10" s="266">
        <v>-121</v>
      </c>
      <c r="K10" s="266">
        <v>-117</v>
      </c>
      <c r="M10" s="258" t="s">
        <v>499</v>
      </c>
      <c r="N10" s="309">
        <f>N6+N9</f>
        <v>121.226</v>
      </c>
      <c r="O10" s="267">
        <f t="shared" ref="O10:W10" si="4">O6+O9</f>
        <v>114.53999999999999</v>
      </c>
      <c r="P10" s="267">
        <f t="shared" si="4"/>
        <v>181.48000000000002</v>
      </c>
      <c r="Q10" s="267">
        <f t="shared" si="4"/>
        <v>365.5</v>
      </c>
      <c r="R10" s="267">
        <f t="shared" si="4"/>
        <v>-43</v>
      </c>
      <c r="S10" s="267">
        <f t="shared" si="4"/>
        <v>-328.18</v>
      </c>
      <c r="T10" s="267">
        <f t="shared" si="4"/>
        <v>-52.239999999999995</v>
      </c>
      <c r="U10" s="267">
        <f t="shared" si="4"/>
        <v>523.69299999999998</v>
      </c>
      <c r="V10" s="267">
        <f t="shared" si="4"/>
        <v>9</v>
      </c>
      <c r="W10" s="267">
        <f t="shared" si="4"/>
        <v>27</v>
      </c>
      <c r="Y10" s="257"/>
      <c r="Z10" s="257"/>
      <c r="AD10" s="258">
        <v>2016</v>
      </c>
      <c r="AE10" s="256">
        <v>0.22</v>
      </c>
    </row>
    <row r="11" spans="1:35" x14ac:dyDescent="0.25">
      <c r="A11" s="263" t="s">
        <v>469</v>
      </c>
      <c r="B11" s="265">
        <f t="shared" ref="B11:K11" si="5">SUM(B6:B10)</f>
        <v>186</v>
      </c>
      <c r="C11" s="265">
        <f t="shared" si="5"/>
        <v>182</v>
      </c>
      <c r="D11" s="265">
        <f t="shared" si="5"/>
        <v>267</v>
      </c>
      <c r="E11" s="265">
        <f t="shared" si="5"/>
        <v>522</v>
      </c>
      <c r="F11" s="265">
        <f t="shared" si="5"/>
        <v>81</v>
      </c>
      <c r="G11" s="265">
        <f t="shared" si="5"/>
        <v>-317</v>
      </c>
      <c r="H11" s="265">
        <f t="shared" si="5"/>
        <v>35</v>
      </c>
      <c r="I11" s="265">
        <f t="shared" si="5"/>
        <v>840</v>
      </c>
      <c r="J11" s="265">
        <f t="shared" si="5"/>
        <v>97</v>
      </c>
      <c r="K11" s="265">
        <f t="shared" si="5"/>
        <v>108</v>
      </c>
      <c r="N11" s="267"/>
      <c r="O11" s="267"/>
      <c r="P11" s="267"/>
      <c r="Q11" s="267"/>
      <c r="R11" s="267"/>
      <c r="S11" s="267"/>
      <c r="T11" s="267"/>
      <c r="U11" s="267"/>
      <c r="V11" s="267"/>
      <c r="W11" s="267"/>
      <c r="AD11" s="258">
        <v>2015</v>
      </c>
      <c r="AE11" s="256">
        <v>0.22</v>
      </c>
    </row>
    <row r="12" spans="1:35" x14ac:dyDescent="0.25">
      <c r="A12" s="269" t="s">
        <v>204</v>
      </c>
      <c r="B12" s="267">
        <v>0</v>
      </c>
      <c r="C12" s="267">
        <v>0</v>
      </c>
      <c r="D12" s="267">
        <v>0</v>
      </c>
      <c r="E12" s="267">
        <v>0</v>
      </c>
      <c r="F12" s="267">
        <v>0</v>
      </c>
      <c r="G12" s="266">
        <v>0</v>
      </c>
      <c r="H12" s="266">
        <v>0</v>
      </c>
      <c r="I12" s="266">
        <v>0</v>
      </c>
      <c r="J12" s="266">
        <v>0</v>
      </c>
      <c r="K12" s="266">
        <v>0</v>
      </c>
      <c r="M12" s="258" t="s">
        <v>500</v>
      </c>
      <c r="N12" s="270">
        <f>-N9/N6</f>
        <v>0.22785987261146498</v>
      </c>
      <c r="O12" s="270">
        <f t="shared" ref="O12:W12" si="6">-O9/O6</f>
        <v>0.24644736842105264</v>
      </c>
      <c r="P12" s="270">
        <f t="shared" si="6"/>
        <v>0.24383333333333332</v>
      </c>
      <c r="Q12" s="270">
        <f t="shared" si="6"/>
        <v>0.23214285714285715</v>
      </c>
      <c r="R12" s="270">
        <f t="shared" si="6"/>
        <v>-1.6875</v>
      </c>
      <c r="S12" s="270">
        <f t="shared" si="6"/>
        <v>0.14979274611398963</v>
      </c>
      <c r="T12" s="270">
        <f t="shared" si="6"/>
        <v>0.1574193548387097</v>
      </c>
      <c r="U12" s="270">
        <f t="shared" si="6"/>
        <v>0.27264861111111116</v>
      </c>
      <c r="V12" s="270">
        <f t="shared" si="6"/>
        <v>0</v>
      </c>
      <c r="W12" s="270">
        <f t="shared" si="6"/>
        <v>0</v>
      </c>
      <c r="AD12" s="258">
        <v>2014</v>
      </c>
      <c r="AE12" s="256">
        <v>0.22</v>
      </c>
    </row>
    <row r="13" spans="1:35" x14ac:dyDescent="0.25">
      <c r="A13" s="269" t="s">
        <v>140</v>
      </c>
      <c r="B13" s="267">
        <v>-29</v>
      </c>
      <c r="C13" s="267">
        <v>-30</v>
      </c>
      <c r="D13" s="267">
        <v>-27</v>
      </c>
      <c r="E13" s="267">
        <v>-46</v>
      </c>
      <c r="F13" s="267">
        <v>-97</v>
      </c>
      <c r="G13" s="266">
        <v>-69</v>
      </c>
      <c r="H13" s="266">
        <v>-97</v>
      </c>
      <c r="I13" s="266">
        <v>-120</v>
      </c>
      <c r="J13" s="266">
        <v>-88</v>
      </c>
      <c r="K13" s="266">
        <v>-81</v>
      </c>
      <c r="AD13" s="258">
        <v>2013</v>
      </c>
      <c r="AE13" s="256">
        <v>0.22</v>
      </c>
    </row>
    <row r="14" spans="1:35" x14ac:dyDescent="0.25">
      <c r="A14" s="263" t="s">
        <v>470</v>
      </c>
      <c r="B14" s="265">
        <f t="shared" ref="B14:K14" si="7">SUM(B11:B13)</f>
        <v>157</v>
      </c>
      <c r="C14" s="265">
        <f t="shared" si="7"/>
        <v>152</v>
      </c>
      <c r="D14" s="265">
        <f t="shared" si="7"/>
        <v>240</v>
      </c>
      <c r="E14" s="265">
        <f t="shared" si="7"/>
        <v>476</v>
      </c>
      <c r="F14" s="265">
        <f t="shared" si="7"/>
        <v>-16</v>
      </c>
      <c r="G14" s="266">
        <f t="shared" si="7"/>
        <v>-386</v>
      </c>
      <c r="H14" s="266">
        <f t="shared" si="7"/>
        <v>-62</v>
      </c>
      <c r="I14" s="266">
        <f t="shared" si="7"/>
        <v>720</v>
      </c>
      <c r="J14" s="266">
        <f t="shared" si="7"/>
        <v>9</v>
      </c>
      <c r="K14" s="266">
        <f t="shared" si="7"/>
        <v>27</v>
      </c>
      <c r="M14" s="257" t="s">
        <v>101</v>
      </c>
      <c r="AD14" s="258">
        <v>2012</v>
      </c>
      <c r="AE14" s="256">
        <v>0.26300000000000001</v>
      </c>
    </row>
    <row r="15" spans="1:35" x14ac:dyDescent="0.25">
      <c r="A15" s="269" t="s">
        <v>501</v>
      </c>
      <c r="B15" s="274">
        <v>-41</v>
      </c>
      <c r="C15" s="274">
        <v>-43</v>
      </c>
      <c r="D15" s="274">
        <v>-66</v>
      </c>
      <c r="E15" s="274">
        <v>-125</v>
      </c>
      <c r="F15" s="264">
        <v>0</v>
      </c>
      <c r="G15" s="266">
        <v>281</v>
      </c>
      <c r="H15" s="266">
        <v>108</v>
      </c>
      <c r="I15" s="266">
        <v>-389</v>
      </c>
      <c r="J15" s="266">
        <v>0</v>
      </c>
      <c r="K15" s="266">
        <v>0</v>
      </c>
      <c r="M15" s="258" t="s">
        <v>102</v>
      </c>
      <c r="N15" s="275">
        <f t="shared" ref="N15:W15" si="8">B31</f>
        <v>738</v>
      </c>
      <c r="O15" s="275">
        <f t="shared" si="8"/>
        <v>649</v>
      </c>
      <c r="P15" s="275">
        <f t="shared" si="8"/>
        <v>869</v>
      </c>
      <c r="Q15" s="275">
        <f t="shared" si="8"/>
        <v>878</v>
      </c>
      <c r="R15" s="275">
        <f t="shared" si="8"/>
        <v>610</v>
      </c>
      <c r="S15" s="275">
        <f t="shared" si="8"/>
        <v>374</v>
      </c>
      <c r="T15" s="275">
        <f t="shared" si="8"/>
        <v>483</v>
      </c>
      <c r="U15" s="275">
        <f t="shared" si="8"/>
        <v>451</v>
      </c>
      <c r="V15" s="275">
        <f t="shared" si="8"/>
        <v>212</v>
      </c>
      <c r="W15" s="275">
        <f t="shared" si="8"/>
        <v>204</v>
      </c>
      <c r="AD15" s="258">
        <v>2011</v>
      </c>
      <c r="AE15" s="256">
        <v>0.26300000000000001</v>
      </c>
    </row>
    <row r="16" spans="1:35" x14ac:dyDescent="0.25">
      <c r="A16" s="269" t="s">
        <v>106</v>
      </c>
      <c r="B16" s="267">
        <v>-27</v>
      </c>
      <c r="C16" s="267">
        <v>-28</v>
      </c>
      <c r="D16" s="267">
        <v>-44</v>
      </c>
      <c r="E16" s="267">
        <v>-83</v>
      </c>
      <c r="F16" s="267">
        <v>-27</v>
      </c>
      <c r="G16" s="267">
        <v>-4</v>
      </c>
      <c r="H16" s="267">
        <v>-14</v>
      </c>
      <c r="I16" s="267">
        <v>-94</v>
      </c>
      <c r="J16" s="267">
        <v>0</v>
      </c>
      <c r="K16" s="267">
        <v>0</v>
      </c>
      <c r="M16" s="258" t="s">
        <v>502</v>
      </c>
      <c r="N16" s="276">
        <f>B32*(1-N3)</f>
        <v>216.15</v>
      </c>
      <c r="O16" s="276">
        <f t="shared" ref="O16:W16" si="9">C32*(1-O3)</f>
        <v>182.52</v>
      </c>
      <c r="P16" s="276">
        <f t="shared" si="9"/>
        <v>148.98000000000002</v>
      </c>
      <c r="Q16" s="276">
        <f t="shared" si="9"/>
        <v>97.5</v>
      </c>
      <c r="R16" s="276">
        <f t="shared" si="9"/>
        <v>0</v>
      </c>
      <c r="S16" s="276">
        <f t="shared" si="9"/>
        <v>0</v>
      </c>
      <c r="T16" s="276">
        <f t="shared" si="9"/>
        <v>219.18</v>
      </c>
      <c r="U16" s="276">
        <f t="shared" si="9"/>
        <v>286.69299999999998</v>
      </c>
      <c r="V16" s="276">
        <f t="shared" si="9"/>
        <v>0</v>
      </c>
      <c r="W16" s="276">
        <f t="shared" si="9"/>
        <v>0</v>
      </c>
      <c r="AD16" s="258">
        <v>2010</v>
      </c>
      <c r="AE16" s="256">
        <v>0.26300000000000001</v>
      </c>
    </row>
    <row r="17" spans="1:31" x14ac:dyDescent="0.25">
      <c r="A17" s="263" t="s">
        <v>108</v>
      </c>
      <c r="B17" s="277">
        <f t="shared" ref="B17:K17" si="10">SUM(B14:B16)</f>
        <v>89</v>
      </c>
      <c r="C17" s="277">
        <f t="shared" si="10"/>
        <v>81</v>
      </c>
      <c r="D17" s="277">
        <f t="shared" si="10"/>
        <v>130</v>
      </c>
      <c r="E17" s="277">
        <f t="shared" si="10"/>
        <v>268</v>
      </c>
      <c r="F17" s="277">
        <f t="shared" si="10"/>
        <v>-43</v>
      </c>
      <c r="G17" s="277">
        <f t="shared" si="10"/>
        <v>-109</v>
      </c>
      <c r="H17" s="277">
        <f t="shared" si="10"/>
        <v>32</v>
      </c>
      <c r="I17" s="277">
        <f t="shared" si="10"/>
        <v>237</v>
      </c>
      <c r="J17" s="277">
        <f t="shared" si="10"/>
        <v>9</v>
      </c>
      <c r="K17" s="277">
        <f t="shared" si="10"/>
        <v>27</v>
      </c>
      <c r="M17" s="258" t="s">
        <v>146</v>
      </c>
      <c r="N17" s="275">
        <f>B33</f>
        <v>0</v>
      </c>
      <c r="O17" s="275">
        <f t="shared" ref="O17:W17" si="11">C33</f>
        <v>0</v>
      </c>
      <c r="P17" s="275">
        <f t="shared" si="11"/>
        <v>0</v>
      </c>
      <c r="Q17" s="275">
        <f t="shared" si="11"/>
        <v>0</v>
      </c>
      <c r="R17" s="275">
        <f t="shared" si="11"/>
        <v>0</v>
      </c>
      <c r="S17" s="275">
        <f t="shared" si="11"/>
        <v>0</v>
      </c>
      <c r="T17" s="275">
        <f t="shared" si="11"/>
        <v>0</v>
      </c>
      <c r="U17" s="275">
        <f t="shared" si="11"/>
        <v>0</v>
      </c>
      <c r="V17" s="275">
        <f t="shared" si="11"/>
        <v>574</v>
      </c>
      <c r="W17" s="275">
        <f t="shared" si="11"/>
        <v>616</v>
      </c>
      <c r="AD17" s="258">
        <v>2009</v>
      </c>
      <c r="AE17" s="256">
        <v>0.26300000000000001</v>
      </c>
    </row>
    <row r="18" spans="1:31" x14ac:dyDescent="0.25">
      <c r="B18" s="278"/>
      <c r="C18" s="278"/>
      <c r="D18" s="278"/>
      <c r="E18" s="278"/>
      <c r="F18" s="278"/>
      <c r="G18" s="278"/>
      <c r="H18" s="278"/>
      <c r="I18" s="278"/>
      <c r="J18" s="278"/>
      <c r="K18" s="278"/>
      <c r="M18" s="258" t="s">
        <v>503</v>
      </c>
      <c r="N18" s="275">
        <f>B35</f>
        <v>0</v>
      </c>
      <c r="O18" s="275">
        <f t="shared" ref="O18:W18" si="12">C35</f>
        <v>0</v>
      </c>
      <c r="P18" s="275">
        <f t="shared" si="12"/>
        <v>0</v>
      </c>
      <c r="Q18" s="275">
        <f t="shared" si="12"/>
        <v>0</v>
      </c>
      <c r="R18" s="275">
        <f t="shared" si="12"/>
        <v>0</v>
      </c>
      <c r="S18" s="275">
        <f t="shared" si="12"/>
        <v>0</v>
      </c>
      <c r="T18" s="275">
        <f t="shared" si="12"/>
        <v>0</v>
      </c>
      <c r="U18" s="275">
        <f t="shared" si="12"/>
        <v>0</v>
      </c>
      <c r="V18" s="275">
        <f t="shared" si="12"/>
        <v>0</v>
      </c>
      <c r="W18" s="275">
        <f t="shared" si="12"/>
        <v>144</v>
      </c>
      <c r="AD18" s="271">
        <v>2008</v>
      </c>
      <c r="AE18" s="256">
        <v>0.28000000000000003</v>
      </c>
    </row>
    <row r="19" spans="1:31" x14ac:dyDescent="0.25">
      <c r="A19" s="258" t="s">
        <v>504</v>
      </c>
      <c r="B19" s="279"/>
      <c r="C19" s="280"/>
      <c r="G19" s="281"/>
      <c r="H19" s="281"/>
      <c r="I19" s="281"/>
      <c r="J19" s="281"/>
      <c r="K19" s="281"/>
      <c r="M19" s="258" t="s">
        <v>192</v>
      </c>
      <c r="N19" s="275">
        <f>B37</f>
        <v>392</v>
      </c>
      <c r="O19" s="275">
        <f t="shared" ref="O19:W19" si="13">C37</f>
        <v>555</v>
      </c>
      <c r="P19" s="275">
        <f t="shared" si="13"/>
        <v>436</v>
      </c>
      <c r="Q19" s="275">
        <f t="shared" si="13"/>
        <v>386</v>
      </c>
      <c r="R19" s="275">
        <f t="shared" si="13"/>
        <v>598</v>
      </c>
      <c r="S19" s="275">
        <f t="shared" si="13"/>
        <v>729</v>
      </c>
      <c r="T19" s="275">
        <f t="shared" si="13"/>
        <v>485</v>
      </c>
      <c r="U19" s="275">
        <f t="shared" si="13"/>
        <v>593</v>
      </c>
      <c r="V19" s="275">
        <f t="shared" si="13"/>
        <v>24</v>
      </c>
      <c r="W19" s="275">
        <f t="shared" si="13"/>
        <v>28</v>
      </c>
      <c r="AD19" s="271">
        <v>2007</v>
      </c>
      <c r="AE19" s="256">
        <v>0.28000000000000003</v>
      </c>
    </row>
    <row r="20" spans="1:31" x14ac:dyDescent="0.25">
      <c r="A20" s="258" t="s">
        <v>488</v>
      </c>
      <c r="B20" s="260">
        <v>2019</v>
      </c>
      <c r="C20" s="260">
        <v>2018</v>
      </c>
      <c r="D20" s="260">
        <v>2017</v>
      </c>
      <c r="E20" s="260">
        <v>2016</v>
      </c>
      <c r="F20" s="260">
        <v>2015</v>
      </c>
      <c r="G20" s="261">
        <v>2014</v>
      </c>
      <c r="H20" s="261">
        <v>2013</v>
      </c>
      <c r="I20" s="261">
        <v>2012</v>
      </c>
      <c r="J20" s="261">
        <v>2011</v>
      </c>
      <c r="K20" s="261">
        <v>2010</v>
      </c>
      <c r="M20" s="282" t="s">
        <v>451</v>
      </c>
      <c r="N20" s="310">
        <f>SUM(N15:N19)</f>
        <v>1346.15</v>
      </c>
      <c r="O20" s="283">
        <f t="shared" ref="O20:W20" si="14">SUM(O15:O19)</f>
        <v>1386.52</v>
      </c>
      <c r="P20" s="283">
        <f t="shared" si="14"/>
        <v>1453.98</v>
      </c>
      <c r="Q20" s="283">
        <f t="shared" si="14"/>
        <v>1361.5</v>
      </c>
      <c r="R20" s="283">
        <f t="shared" si="14"/>
        <v>1208</v>
      </c>
      <c r="S20" s="283">
        <f t="shared" si="14"/>
        <v>1103</v>
      </c>
      <c r="T20" s="283">
        <f t="shared" si="14"/>
        <v>1187.18</v>
      </c>
      <c r="U20" s="283">
        <f t="shared" si="14"/>
        <v>1330.693</v>
      </c>
      <c r="V20" s="283">
        <f t="shared" si="14"/>
        <v>810</v>
      </c>
      <c r="W20" s="283">
        <f t="shared" si="14"/>
        <v>992</v>
      </c>
      <c r="Y20" s="256"/>
      <c r="AD20" s="271">
        <v>2006</v>
      </c>
      <c r="AE20" s="256">
        <v>0.28000000000000003</v>
      </c>
    </row>
    <row r="21" spans="1:31" x14ac:dyDescent="0.25">
      <c r="A21" s="258" t="s">
        <v>172</v>
      </c>
      <c r="B21" s="284">
        <v>0</v>
      </c>
      <c r="C21" s="284">
        <v>0</v>
      </c>
      <c r="D21" s="284">
        <v>0</v>
      </c>
      <c r="E21" s="284">
        <v>0</v>
      </c>
      <c r="F21" s="284">
        <v>0</v>
      </c>
      <c r="G21" s="285">
        <v>58</v>
      </c>
      <c r="H21" s="285">
        <v>174</v>
      </c>
      <c r="I21" s="285">
        <v>292</v>
      </c>
      <c r="J21" s="285">
        <v>470</v>
      </c>
      <c r="K21" s="285">
        <v>551</v>
      </c>
      <c r="AD21" s="271">
        <v>2005</v>
      </c>
      <c r="AE21" s="256">
        <v>0.28000000000000003</v>
      </c>
    </row>
    <row r="22" spans="1:31" x14ac:dyDescent="0.25">
      <c r="A22" s="257" t="s">
        <v>506</v>
      </c>
      <c r="B22" s="286">
        <f t="shared" ref="B22:K22" si="15">B21</f>
        <v>0</v>
      </c>
      <c r="C22" s="286">
        <f t="shared" si="15"/>
        <v>0</v>
      </c>
      <c r="D22" s="286">
        <f t="shared" si="15"/>
        <v>0</v>
      </c>
      <c r="E22" s="286">
        <f t="shared" si="15"/>
        <v>0</v>
      </c>
      <c r="F22" s="286">
        <f t="shared" si="15"/>
        <v>0</v>
      </c>
      <c r="G22" s="286">
        <f t="shared" si="15"/>
        <v>58</v>
      </c>
      <c r="H22" s="286">
        <f t="shared" si="15"/>
        <v>174</v>
      </c>
      <c r="I22" s="286">
        <f t="shared" si="15"/>
        <v>292</v>
      </c>
      <c r="J22" s="286">
        <f t="shared" si="15"/>
        <v>470</v>
      </c>
      <c r="K22" s="286">
        <f t="shared" si="15"/>
        <v>551</v>
      </c>
      <c r="M22" s="258" t="s">
        <v>123</v>
      </c>
      <c r="N22" s="273">
        <f>N15+N16</f>
        <v>954.15</v>
      </c>
      <c r="O22" s="273">
        <f t="shared" ref="O22:V22" si="16">O15+O16</f>
        <v>831.52</v>
      </c>
      <c r="P22" s="273">
        <f t="shared" si="16"/>
        <v>1017.98</v>
      </c>
      <c r="Q22" s="273">
        <f t="shared" si="16"/>
        <v>975.5</v>
      </c>
      <c r="R22" s="273">
        <f t="shared" si="16"/>
        <v>610</v>
      </c>
      <c r="S22" s="273">
        <f t="shared" si="16"/>
        <v>374</v>
      </c>
      <c r="T22" s="273">
        <f t="shared" si="16"/>
        <v>702.18000000000006</v>
      </c>
      <c r="U22" s="273">
        <f t="shared" si="16"/>
        <v>737.69299999999998</v>
      </c>
      <c r="V22" s="273">
        <f t="shared" si="16"/>
        <v>212</v>
      </c>
      <c r="W22" s="273">
        <f>W15+W16</f>
        <v>204</v>
      </c>
      <c r="AD22" s="271">
        <v>2004</v>
      </c>
      <c r="AE22" s="256">
        <v>0.28000000000000003</v>
      </c>
    </row>
    <row r="23" spans="1:31" x14ac:dyDescent="0.25">
      <c r="A23" s="287" t="s">
        <v>143</v>
      </c>
      <c r="D23" s="279"/>
      <c r="AD23" s="271">
        <v>2003</v>
      </c>
      <c r="AE23" s="256">
        <v>0.28000000000000003</v>
      </c>
    </row>
    <row r="24" spans="1:31" x14ac:dyDescent="0.25">
      <c r="A24" s="269" t="s">
        <v>174</v>
      </c>
      <c r="B24" s="284">
        <v>340</v>
      </c>
      <c r="C24" s="284">
        <v>133</v>
      </c>
      <c r="D24" s="284">
        <v>119</v>
      </c>
      <c r="E24" s="284">
        <v>102</v>
      </c>
      <c r="F24" s="284">
        <v>80</v>
      </c>
      <c r="G24" s="281">
        <v>133</v>
      </c>
      <c r="H24" s="281">
        <v>39</v>
      </c>
      <c r="I24" s="281">
        <v>58</v>
      </c>
      <c r="J24" s="281">
        <v>445</v>
      </c>
      <c r="K24" s="281">
        <v>584</v>
      </c>
      <c r="M24" s="288" t="s">
        <v>98</v>
      </c>
      <c r="N24" s="289">
        <v>2019</v>
      </c>
      <c r="O24" s="289">
        <v>2018</v>
      </c>
      <c r="P24" s="289">
        <v>2017</v>
      </c>
      <c r="Q24" s="289">
        <v>2016</v>
      </c>
      <c r="R24" s="289">
        <v>2015</v>
      </c>
      <c r="S24" s="290">
        <v>2014</v>
      </c>
      <c r="T24" s="290">
        <v>2013</v>
      </c>
      <c r="U24" s="290">
        <v>2012</v>
      </c>
      <c r="V24" s="290">
        <v>2011</v>
      </c>
      <c r="W24" s="261"/>
      <c r="AD24" s="271">
        <v>2002</v>
      </c>
      <c r="AE24" s="256">
        <v>0.28000000000000003</v>
      </c>
    </row>
    <row r="25" spans="1:31" x14ac:dyDescent="0.25">
      <c r="A25" s="269" t="s">
        <v>374</v>
      </c>
      <c r="B25" s="284">
        <v>154</v>
      </c>
      <c r="C25" s="284">
        <v>106</v>
      </c>
      <c r="D25" s="284">
        <v>87</v>
      </c>
      <c r="E25" s="284">
        <v>32</v>
      </c>
      <c r="F25" s="284">
        <v>154</v>
      </c>
      <c r="G25" s="281">
        <v>196</v>
      </c>
      <c r="H25" s="281">
        <v>295</v>
      </c>
      <c r="I25" s="281">
        <v>203</v>
      </c>
      <c r="J25" s="281">
        <v>200</v>
      </c>
      <c r="K25" s="281">
        <v>186</v>
      </c>
      <c r="M25" s="258" t="s">
        <v>100</v>
      </c>
      <c r="N25" s="279">
        <f t="shared" ref="N25:V25" si="17">AVERAGE(B29:C29)</f>
        <v>1701</v>
      </c>
      <c r="O25" s="279">
        <f t="shared" si="17"/>
        <v>1749.5</v>
      </c>
      <c r="P25" s="279">
        <f t="shared" si="17"/>
        <v>1668.5</v>
      </c>
      <c r="Q25" s="279">
        <f t="shared" si="17"/>
        <v>1456</v>
      </c>
      <c r="R25" s="279">
        <f t="shared" si="17"/>
        <v>1382.5</v>
      </c>
      <c r="S25" s="279">
        <f t="shared" si="17"/>
        <v>1580</v>
      </c>
      <c r="T25" s="279">
        <f t="shared" si="17"/>
        <v>1783</v>
      </c>
      <c r="U25" s="279">
        <f t="shared" si="17"/>
        <v>1495.5</v>
      </c>
      <c r="V25" s="279">
        <f t="shared" si="17"/>
        <v>1271.5</v>
      </c>
      <c r="AD25" s="271">
        <v>2001</v>
      </c>
      <c r="AE25" s="256">
        <v>0.28000000000000003</v>
      </c>
    </row>
    <row r="26" spans="1:31" x14ac:dyDescent="0.25">
      <c r="A26" s="269" t="s">
        <v>507</v>
      </c>
      <c r="B26" s="284">
        <v>140</v>
      </c>
      <c r="C26" s="284">
        <v>196</v>
      </c>
      <c r="D26" s="284">
        <v>129</v>
      </c>
      <c r="E26" s="284">
        <v>190</v>
      </c>
      <c r="F26" s="284">
        <v>114</v>
      </c>
      <c r="G26" s="281">
        <v>123</v>
      </c>
      <c r="H26" s="281">
        <v>89</v>
      </c>
      <c r="I26" s="281">
        <v>67</v>
      </c>
      <c r="J26" s="281">
        <v>38</v>
      </c>
      <c r="K26" s="281">
        <v>30</v>
      </c>
      <c r="M26" s="258" t="s">
        <v>101</v>
      </c>
      <c r="N26" s="279">
        <f>AVERAGE(N20:O20)</f>
        <v>1366.335</v>
      </c>
      <c r="O26" s="279">
        <f t="shared" ref="O26:V26" si="18">AVERAGE(O20:P20)</f>
        <v>1420.25</v>
      </c>
      <c r="P26" s="279">
        <f t="shared" si="18"/>
        <v>1407.74</v>
      </c>
      <c r="Q26" s="279">
        <f t="shared" si="18"/>
        <v>1284.75</v>
      </c>
      <c r="R26" s="279">
        <f t="shared" si="18"/>
        <v>1155.5</v>
      </c>
      <c r="S26" s="279">
        <f t="shared" si="18"/>
        <v>1145.0900000000001</v>
      </c>
      <c r="T26" s="279">
        <f t="shared" si="18"/>
        <v>1258.9365</v>
      </c>
      <c r="U26" s="279">
        <f t="shared" si="18"/>
        <v>1070.3465000000001</v>
      </c>
      <c r="V26" s="279">
        <f t="shared" si="18"/>
        <v>901</v>
      </c>
      <c r="AD26" s="271">
        <v>2000</v>
      </c>
      <c r="AE26" s="256">
        <v>0.28000000000000003</v>
      </c>
    </row>
    <row r="27" spans="1:31" x14ac:dyDescent="0.25">
      <c r="A27" s="269" t="s">
        <v>195</v>
      </c>
      <c r="B27" s="284">
        <v>1035</v>
      </c>
      <c r="C27" s="284">
        <v>1298</v>
      </c>
      <c r="D27" s="284">
        <v>1431</v>
      </c>
      <c r="E27" s="284">
        <v>1247</v>
      </c>
      <c r="F27" s="284">
        <v>993</v>
      </c>
      <c r="G27" s="281">
        <v>914</v>
      </c>
      <c r="H27" s="281">
        <v>1139</v>
      </c>
      <c r="I27" s="281">
        <v>1210</v>
      </c>
      <c r="J27" s="281">
        <v>8</v>
      </c>
      <c r="K27" s="281">
        <v>31</v>
      </c>
      <c r="M27" s="258" t="s">
        <v>508</v>
      </c>
      <c r="N27" s="275">
        <f>AVERAGE(N15+N16,O15+O16)</f>
        <v>892.83500000000004</v>
      </c>
      <c r="O27" s="275">
        <f t="shared" ref="O27:V27" si="19">AVERAGE(O15+O16,P15+P16)</f>
        <v>924.75</v>
      </c>
      <c r="P27" s="275">
        <f t="shared" si="19"/>
        <v>996.74</v>
      </c>
      <c r="Q27" s="275">
        <f t="shared" si="19"/>
        <v>792.75</v>
      </c>
      <c r="R27" s="275">
        <f t="shared" si="19"/>
        <v>492</v>
      </c>
      <c r="S27" s="275">
        <f t="shared" si="19"/>
        <v>538.09</v>
      </c>
      <c r="T27" s="275">
        <f t="shared" si="19"/>
        <v>719.93650000000002</v>
      </c>
      <c r="U27" s="275">
        <f t="shared" si="19"/>
        <v>474.84649999999999</v>
      </c>
      <c r="V27" s="275">
        <f t="shared" si="19"/>
        <v>208</v>
      </c>
      <c r="AD27" s="271">
        <v>1999</v>
      </c>
      <c r="AE27" s="256">
        <v>0.28000000000000003</v>
      </c>
    </row>
    <row r="28" spans="1:31" x14ac:dyDescent="0.25">
      <c r="A28" s="257" t="s">
        <v>509</v>
      </c>
      <c r="B28" s="275">
        <f t="shared" ref="B28:K28" si="20">SUM(B24:B27)</f>
        <v>1669</v>
      </c>
      <c r="C28" s="275">
        <f t="shared" si="20"/>
        <v>1733</v>
      </c>
      <c r="D28" s="275">
        <f t="shared" si="20"/>
        <v>1766</v>
      </c>
      <c r="E28" s="275">
        <f t="shared" si="20"/>
        <v>1571</v>
      </c>
      <c r="F28" s="275">
        <f t="shared" si="20"/>
        <v>1341</v>
      </c>
      <c r="G28" s="286">
        <f t="shared" si="20"/>
        <v>1366</v>
      </c>
      <c r="H28" s="286">
        <f t="shared" si="20"/>
        <v>1562</v>
      </c>
      <c r="I28" s="286">
        <f t="shared" si="20"/>
        <v>1538</v>
      </c>
      <c r="J28" s="286">
        <f t="shared" si="20"/>
        <v>691</v>
      </c>
      <c r="K28" s="286">
        <f t="shared" si="20"/>
        <v>831</v>
      </c>
      <c r="M28" s="258" t="s">
        <v>510</v>
      </c>
      <c r="N28" s="275">
        <f>AVERAGE(B33+B35+B37,C33+C35+C37)</f>
        <v>473.5</v>
      </c>
      <c r="O28" s="275">
        <f t="shared" ref="O28:V28" si="21">AVERAGE(C33+C35+C37,D33+D35+D37)</f>
        <v>495.5</v>
      </c>
      <c r="P28" s="275">
        <f t="shared" si="21"/>
        <v>411</v>
      </c>
      <c r="Q28" s="275">
        <f t="shared" si="21"/>
        <v>492</v>
      </c>
      <c r="R28" s="275">
        <f t="shared" si="21"/>
        <v>663.5</v>
      </c>
      <c r="S28" s="275">
        <f t="shared" si="21"/>
        <v>607</v>
      </c>
      <c r="T28" s="275">
        <f t="shared" si="21"/>
        <v>539</v>
      </c>
      <c r="U28" s="275">
        <f t="shared" si="21"/>
        <v>595.5</v>
      </c>
      <c r="V28" s="275">
        <f t="shared" si="21"/>
        <v>693</v>
      </c>
      <c r="AD28" s="271">
        <v>1998</v>
      </c>
      <c r="AE28" s="256">
        <v>0.28000000000000003</v>
      </c>
    </row>
    <row r="29" spans="1:31" x14ac:dyDescent="0.25">
      <c r="A29" s="257" t="s">
        <v>170</v>
      </c>
      <c r="B29" s="291">
        <f t="shared" ref="B29:K29" si="22">B22+B28</f>
        <v>1669</v>
      </c>
      <c r="C29" s="291">
        <f t="shared" si="22"/>
        <v>1733</v>
      </c>
      <c r="D29" s="291">
        <f t="shared" si="22"/>
        <v>1766</v>
      </c>
      <c r="E29" s="291">
        <f t="shared" si="22"/>
        <v>1571</v>
      </c>
      <c r="F29" s="291">
        <f t="shared" si="22"/>
        <v>1341</v>
      </c>
      <c r="G29" s="286">
        <f t="shared" si="22"/>
        <v>1424</v>
      </c>
      <c r="H29" s="286">
        <f t="shared" si="22"/>
        <v>1736</v>
      </c>
      <c r="I29" s="286">
        <f t="shared" si="22"/>
        <v>1830</v>
      </c>
      <c r="J29" s="286">
        <f t="shared" si="22"/>
        <v>1161</v>
      </c>
      <c r="K29" s="286">
        <f t="shared" si="22"/>
        <v>1382</v>
      </c>
      <c r="M29" s="258" t="s">
        <v>174</v>
      </c>
      <c r="N29" s="275">
        <f>AVERAGE(B24:C24)</f>
        <v>236.5</v>
      </c>
      <c r="O29" s="275">
        <f t="shared" ref="O29:V30" si="23">AVERAGE(C24:D24)</f>
        <v>126</v>
      </c>
      <c r="P29" s="275">
        <f t="shared" si="23"/>
        <v>110.5</v>
      </c>
      <c r="Q29" s="275">
        <f t="shared" si="23"/>
        <v>91</v>
      </c>
      <c r="R29" s="275">
        <f t="shared" si="23"/>
        <v>106.5</v>
      </c>
      <c r="S29" s="275">
        <f t="shared" si="23"/>
        <v>86</v>
      </c>
      <c r="T29" s="275">
        <f t="shared" si="23"/>
        <v>48.5</v>
      </c>
      <c r="U29" s="275">
        <f t="shared" si="23"/>
        <v>251.5</v>
      </c>
      <c r="V29" s="275">
        <f t="shared" si="23"/>
        <v>514.5</v>
      </c>
      <c r="AD29" s="271">
        <v>1997</v>
      </c>
      <c r="AE29" s="256">
        <v>0.28000000000000003</v>
      </c>
    </row>
    <row r="30" spans="1:31" x14ac:dyDescent="0.25">
      <c r="G30" s="261"/>
      <c r="H30" s="261"/>
      <c r="M30" s="258" t="s">
        <v>374</v>
      </c>
      <c r="N30" s="275">
        <f>AVERAGE(B25:C25)</f>
        <v>130</v>
      </c>
      <c r="O30" s="275">
        <f t="shared" si="23"/>
        <v>96.5</v>
      </c>
      <c r="P30" s="275">
        <f t="shared" si="23"/>
        <v>59.5</v>
      </c>
      <c r="Q30" s="275">
        <f t="shared" si="23"/>
        <v>93</v>
      </c>
      <c r="R30" s="275">
        <f t="shared" si="23"/>
        <v>175</v>
      </c>
      <c r="S30" s="275">
        <f t="shared" si="23"/>
        <v>245.5</v>
      </c>
      <c r="T30" s="275">
        <f t="shared" si="23"/>
        <v>249</v>
      </c>
      <c r="U30" s="275">
        <f t="shared" si="23"/>
        <v>201.5</v>
      </c>
      <c r="V30" s="275">
        <f t="shared" si="23"/>
        <v>193</v>
      </c>
      <c r="AD30" s="271">
        <v>1996</v>
      </c>
      <c r="AE30" s="256">
        <v>0.28000000000000003</v>
      </c>
    </row>
    <row r="31" spans="1:31" x14ac:dyDescent="0.25">
      <c r="A31" s="263" t="s">
        <v>102</v>
      </c>
      <c r="B31" s="284">
        <v>738</v>
      </c>
      <c r="C31" s="284">
        <v>649</v>
      </c>
      <c r="D31" s="284">
        <v>869</v>
      </c>
      <c r="E31" s="284">
        <v>878</v>
      </c>
      <c r="F31" s="284">
        <v>610</v>
      </c>
      <c r="G31" s="292">
        <v>374</v>
      </c>
      <c r="H31" s="292">
        <v>483</v>
      </c>
      <c r="I31" s="292">
        <v>451</v>
      </c>
      <c r="J31" s="292">
        <v>212</v>
      </c>
      <c r="K31" s="292">
        <v>204</v>
      </c>
      <c r="AD31" s="271">
        <v>1995</v>
      </c>
      <c r="AE31" s="256">
        <v>0.28000000000000003</v>
      </c>
    </row>
    <row r="32" spans="1:31" x14ac:dyDescent="0.25">
      <c r="A32" s="263" t="s">
        <v>372</v>
      </c>
      <c r="B32" s="284">
        <v>275</v>
      </c>
      <c r="C32" s="284">
        <v>234</v>
      </c>
      <c r="D32" s="284">
        <v>191</v>
      </c>
      <c r="E32" s="284">
        <v>125</v>
      </c>
      <c r="F32" s="284">
        <v>0</v>
      </c>
      <c r="G32" s="292">
        <v>0</v>
      </c>
      <c r="H32" s="292">
        <v>281</v>
      </c>
      <c r="I32" s="292">
        <v>389</v>
      </c>
      <c r="J32" s="292">
        <v>0</v>
      </c>
      <c r="K32" s="292">
        <v>0</v>
      </c>
      <c r="AD32" s="271">
        <v>1994</v>
      </c>
      <c r="AE32" s="256">
        <v>0.28000000000000003</v>
      </c>
    </row>
    <row r="33" spans="1:31" x14ac:dyDescent="0.25">
      <c r="A33" s="258" t="s">
        <v>146</v>
      </c>
      <c r="B33" s="284">
        <v>0</v>
      </c>
      <c r="C33" s="284">
        <v>0</v>
      </c>
      <c r="D33" s="284">
        <v>0</v>
      </c>
      <c r="E33" s="284">
        <v>0</v>
      </c>
      <c r="F33" s="284">
        <v>0</v>
      </c>
      <c r="G33" s="292">
        <v>0</v>
      </c>
      <c r="H33" s="292">
        <v>0</v>
      </c>
      <c r="I33" s="292">
        <v>0</v>
      </c>
      <c r="J33" s="292">
        <v>574</v>
      </c>
      <c r="K33" s="292">
        <v>616</v>
      </c>
      <c r="M33" s="293" t="s">
        <v>205</v>
      </c>
      <c r="N33" s="289">
        <v>2019</v>
      </c>
      <c r="O33" s="289">
        <v>2018</v>
      </c>
      <c r="P33" s="289">
        <v>2017</v>
      </c>
      <c r="Q33" s="289">
        <v>2016</v>
      </c>
      <c r="R33" s="289">
        <v>2015</v>
      </c>
      <c r="S33" s="290">
        <v>2014</v>
      </c>
      <c r="T33" s="290">
        <v>2013</v>
      </c>
      <c r="U33" s="290">
        <v>2012</v>
      </c>
      <c r="V33" s="290">
        <v>2011</v>
      </c>
      <c r="AD33" s="271">
        <v>1993</v>
      </c>
      <c r="AE33" s="256">
        <v>0.3</v>
      </c>
    </row>
    <row r="34" spans="1:31" x14ac:dyDescent="0.25">
      <c r="A34" s="287" t="s">
        <v>176</v>
      </c>
      <c r="G34" s="281"/>
      <c r="H34" s="281"/>
      <c r="I34" s="281"/>
      <c r="J34" s="281"/>
      <c r="K34" s="281"/>
      <c r="M34" s="294" t="s">
        <v>107</v>
      </c>
      <c r="N34" s="270">
        <f t="shared" ref="N34:V34" si="24">N6/N27</f>
        <v>0.1758443609401513</v>
      </c>
      <c r="O34" s="270">
        <f t="shared" si="24"/>
        <v>0.16436874831035414</v>
      </c>
      <c r="P34" s="270">
        <f t="shared" si="24"/>
        <v>0.2407849589662299</v>
      </c>
      <c r="Q34" s="270">
        <f t="shared" si="24"/>
        <v>0.60044150110375272</v>
      </c>
      <c r="R34" s="270">
        <f t="shared" si="24"/>
        <v>-3.2520325203252036E-2</v>
      </c>
      <c r="S34" s="270">
        <f t="shared" si="24"/>
        <v>-0.7173521158170566</v>
      </c>
      <c r="T34" s="270">
        <f t="shared" si="24"/>
        <v>-8.6118706302569736E-2</v>
      </c>
      <c r="U34" s="270">
        <f t="shared" si="24"/>
        <v>1.5162794713660099</v>
      </c>
      <c r="V34" s="270">
        <f t="shared" si="24"/>
        <v>4.3269230769230768E-2</v>
      </c>
      <c r="AD34" s="271">
        <v>1992</v>
      </c>
      <c r="AE34" s="256">
        <v>0.3</v>
      </c>
    </row>
    <row r="35" spans="1:31" x14ac:dyDescent="0.25">
      <c r="A35" s="258" t="s">
        <v>503</v>
      </c>
      <c r="B35" s="284">
        <v>0</v>
      </c>
      <c r="C35" s="284">
        <v>0</v>
      </c>
      <c r="D35" s="284">
        <v>0</v>
      </c>
      <c r="E35" s="284">
        <v>0</v>
      </c>
      <c r="F35" s="284">
        <v>0</v>
      </c>
      <c r="G35" s="281">
        <v>0</v>
      </c>
      <c r="H35" s="281">
        <v>0</v>
      </c>
      <c r="I35" s="281">
        <v>0</v>
      </c>
      <c r="J35" s="281">
        <v>0</v>
      </c>
      <c r="K35" s="281">
        <v>144</v>
      </c>
      <c r="M35" s="294" t="s">
        <v>481</v>
      </c>
      <c r="N35" s="270">
        <f t="shared" ref="N35:V35" si="25">N10/N27</f>
        <v>0.13577648725688396</v>
      </c>
      <c r="O35" s="270">
        <f t="shared" si="25"/>
        <v>0.12386050283860502</v>
      </c>
      <c r="P35" s="270">
        <f t="shared" si="25"/>
        <v>0.1820735598049642</v>
      </c>
      <c r="Q35" s="270">
        <f t="shared" si="25"/>
        <v>0.4610532954903816</v>
      </c>
      <c r="R35" s="270">
        <f t="shared" si="25"/>
        <v>-8.7398373983739841E-2</v>
      </c>
      <c r="S35" s="270">
        <f t="shared" si="25"/>
        <v>-0.60989797245813893</v>
      </c>
      <c r="T35" s="270">
        <f t="shared" si="25"/>
        <v>-7.2561955116874882E-2</v>
      </c>
      <c r="U35" s="270">
        <f t="shared" si="25"/>
        <v>1.1028679794417775</v>
      </c>
      <c r="V35" s="270">
        <f t="shared" si="25"/>
        <v>4.3269230769230768E-2</v>
      </c>
      <c r="AD35" s="271">
        <v>1991</v>
      </c>
      <c r="AE35" s="256">
        <v>0.3</v>
      </c>
    </row>
    <row r="36" spans="1:31" x14ac:dyDescent="0.25">
      <c r="A36" s="258" t="s">
        <v>147</v>
      </c>
      <c r="B36" s="284">
        <v>30</v>
      </c>
      <c r="C36" s="284">
        <v>122</v>
      </c>
      <c r="D36" s="284">
        <v>98</v>
      </c>
      <c r="E36" s="284">
        <v>47</v>
      </c>
      <c r="F36" s="284">
        <v>56</v>
      </c>
      <c r="G36" s="281">
        <v>277</v>
      </c>
      <c r="H36" s="281">
        <v>175</v>
      </c>
      <c r="I36" s="281">
        <v>80</v>
      </c>
      <c r="J36" s="281">
        <v>48</v>
      </c>
      <c r="K36" s="281">
        <v>84</v>
      </c>
      <c r="M36" s="294" t="s">
        <v>479</v>
      </c>
      <c r="N36" s="270">
        <f t="shared" ref="N36:V36" si="26">(B14-B13)/N25</f>
        <v>0.10934744268077601</v>
      </c>
      <c r="O36" s="270">
        <f t="shared" si="26"/>
        <v>0.10402972277793655</v>
      </c>
      <c r="P36" s="270">
        <f t="shared" si="26"/>
        <v>0.16002397362900808</v>
      </c>
      <c r="Q36" s="270">
        <f t="shared" si="26"/>
        <v>0.35851648351648352</v>
      </c>
      <c r="R36" s="270">
        <f t="shared" si="26"/>
        <v>5.8589511754068714E-2</v>
      </c>
      <c r="S36" s="270">
        <f t="shared" si="26"/>
        <v>-0.20063291139240505</v>
      </c>
      <c r="T36" s="270">
        <f t="shared" si="26"/>
        <v>1.9629837352776219E-2</v>
      </c>
      <c r="U36" s="270">
        <f t="shared" si="26"/>
        <v>0.56168505516549649</v>
      </c>
      <c r="V36" s="270">
        <f t="shared" si="26"/>
        <v>7.6287848997247346E-2</v>
      </c>
      <c r="AD36" s="271">
        <v>1990</v>
      </c>
      <c r="AE36" s="256">
        <v>0.53</v>
      </c>
    </row>
    <row r="37" spans="1:31" x14ac:dyDescent="0.25">
      <c r="A37" s="258" t="s">
        <v>192</v>
      </c>
      <c r="B37" s="284">
        <v>392</v>
      </c>
      <c r="C37" s="284">
        <v>555</v>
      </c>
      <c r="D37" s="284">
        <v>436</v>
      </c>
      <c r="E37" s="284">
        <v>386</v>
      </c>
      <c r="F37" s="284">
        <v>598</v>
      </c>
      <c r="G37" s="284">
        <v>729</v>
      </c>
      <c r="H37" s="284">
        <v>485</v>
      </c>
      <c r="I37" s="284">
        <v>593</v>
      </c>
      <c r="J37" s="284">
        <v>24</v>
      </c>
      <c r="K37" s="284">
        <v>28</v>
      </c>
      <c r="M37" s="294" t="s">
        <v>478</v>
      </c>
      <c r="N37" s="270">
        <f t="shared" ref="N37:V37" si="27">(B14-B13)/N26</f>
        <v>0.13613059754745357</v>
      </c>
      <c r="O37" s="270">
        <f t="shared" si="27"/>
        <v>0.12814645308924486</v>
      </c>
      <c r="P37" s="270">
        <f t="shared" si="27"/>
        <v>0.1896657053149019</v>
      </c>
      <c r="Q37" s="270">
        <f t="shared" si="27"/>
        <v>0.40630472854640981</v>
      </c>
      <c r="R37" s="270">
        <f t="shared" si="27"/>
        <v>7.0099524015577674E-2</v>
      </c>
      <c r="S37" s="270">
        <f t="shared" si="27"/>
        <v>-0.27683413530814166</v>
      </c>
      <c r="T37" s="270">
        <f t="shared" si="27"/>
        <v>2.7801243351034781E-2</v>
      </c>
      <c r="U37" s="270">
        <f t="shared" si="27"/>
        <v>0.78479258819457054</v>
      </c>
      <c r="V37" s="270">
        <f t="shared" si="27"/>
        <v>0.1076581576026637</v>
      </c>
      <c r="AD37" s="271">
        <v>1989</v>
      </c>
      <c r="AE37" s="256">
        <v>0.60099999999999998</v>
      </c>
    </row>
    <row r="38" spans="1:31" x14ac:dyDescent="0.25">
      <c r="A38" s="258" t="s">
        <v>379</v>
      </c>
      <c r="B38" s="284">
        <v>234</v>
      </c>
      <c r="C38" s="284">
        <v>173</v>
      </c>
      <c r="D38" s="284">
        <v>172</v>
      </c>
      <c r="E38" s="284">
        <v>135</v>
      </c>
      <c r="F38" s="284">
        <v>77</v>
      </c>
      <c r="G38" s="281">
        <v>44</v>
      </c>
      <c r="H38" s="281">
        <v>312</v>
      </c>
      <c r="I38" s="281">
        <v>317</v>
      </c>
      <c r="J38" s="281">
        <v>303</v>
      </c>
      <c r="K38" s="281">
        <v>306</v>
      </c>
      <c r="M38" s="294" t="s">
        <v>477</v>
      </c>
      <c r="N38" s="270">
        <f t="shared" ref="N38:V38" si="28">-B13/N28</f>
        <v>6.1246040126715945E-2</v>
      </c>
      <c r="O38" s="270">
        <f t="shared" si="28"/>
        <v>6.0544904137235116E-2</v>
      </c>
      <c r="P38" s="270">
        <f t="shared" si="28"/>
        <v>6.569343065693431E-2</v>
      </c>
      <c r="Q38" s="270">
        <f t="shared" si="28"/>
        <v>9.3495934959349589E-2</v>
      </c>
      <c r="R38" s="270">
        <f t="shared" si="28"/>
        <v>0.14619442351168049</v>
      </c>
      <c r="S38" s="270">
        <f t="shared" si="28"/>
        <v>0.11367380560131796</v>
      </c>
      <c r="T38" s="270">
        <f t="shared" si="28"/>
        <v>0.17996289424860853</v>
      </c>
      <c r="U38" s="270">
        <f t="shared" si="28"/>
        <v>0.20151133501259447</v>
      </c>
      <c r="V38" s="270">
        <f t="shared" si="28"/>
        <v>0.12698412698412698</v>
      </c>
      <c r="AD38" s="271">
        <v>1988</v>
      </c>
      <c r="AE38" s="256">
        <v>0.56600000000000006</v>
      </c>
    </row>
    <row r="39" spans="1:31" x14ac:dyDescent="0.25">
      <c r="A39" s="263" t="s">
        <v>511</v>
      </c>
      <c r="B39" s="295">
        <f t="shared" ref="B39:K39" si="29">SUM(B35:B38)</f>
        <v>656</v>
      </c>
      <c r="C39" s="295">
        <f t="shared" si="29"/>
        <v>850</v>
      </c>
      <c r="D39" s="295">
        <f t="shared" si="29"/>
        <v>706</v>
      </c>
      <c r="E39" s="295">
        <f t="shared" si="29"/>
        <v>568</v>
      </c>
      <c r="F39" s="295">
        <f t="shared" si="29"/>
        <v>731</v>
      </c>
      <c r="G39" s="292">
        <f t="shared" si="29"/>
        <v>1050</v>
      </c>
      <c r="H39" s="292">
        <f t="shared" si="29"/>
        <v>972</v>
      </c>
      <c r="I39" s="292">
        <f t="shared" si="29"/>
        <v>990</v>
      </c>
      <c r="J39" s="292">
        <f t="shared" si="29"/>
        <v>375</v>
      </c>
      <c r="K39" s="292">
        <f t="shared" si="29"/>
        <v>562</v>
      </c>
      <c r="M39" s="294" t="s">
        <v>476</v>
      </c>
      <c r="N39" s="272">
        <f t="shared" ref="N39:V39" si="30">N28/N27</f>
        <v>0.53033315226217603</v>
      </c>
      <c r="O39" s="272">
        <f t="shared" si="30"/>
        <v>0.53582049202487159</v>
      </c>
      <c r="P39" s="272">
        <f t="shared" si="30"/>
        <v>0.4123442422296687</v>
      </c>
      <c r="Q39" s="272">
        <f t="shared" si="30"/>
        <v>0.62062440870387892</v>
      </c>
      <c r="R39" s="272">
        <f t="shared" si="30"/>
        <v>1.3485772357723578</v>
      </c>
      <c r="S39" s="272">
        <f t="shared" si="30"/>
        <v>1.1280640784998792</v>
      </c>
      <c r="T39" s="272">
        <f t="shared" si="30"/>
        <v>0.74867714027556598</v>
      </c>
      <c r="U39" s="272">
        <f t="shared" si="30"/>
        <v>1.2540894794423041</v>
      </c>
      <c r="V39" s="272">
        <f t="shared" si="30"/>
        <v>3.3317307692307692</v>
      </c>
      <c r="AD39" s="271">
        <v>1987</v>
      </c>
      <c r="AE39" s="256">
        <v>0.56600000000000006</v>
      </c>
    </row>
    <row r="40" spans="1:31" x14ac:dyDescent="0.25">
      <c r="A40" s="263" t="s">
        <v>53</v>
      </c>
      <c r="B40" s="295">
        <f t="shared" ref="B40:K40" si="31">B33+B39</f>
        <v>656</v>
      </c>
      <c r="C40" s="295">
        <f t="shared" si="31"/>
        <v>850</v>
      </c>
      <c r="D40" s="295">
        <f t="shared" si="31"/>
        <v>706</v>
      </c>
      <c r="E40" s="295">
        <f t="shared" si="31"/>
        <v>568</v>
      </c>
      <c r="F40" s="295">
        <f t="shared" si="31"/>
        <v>731</v>
      </c>
      <c r="G40" s="292">
        <f t="shared" si="31"/>
        <v>1050</v>
      </c>
      <c r="H40" s="292">
        <f t="shared" si="31"/>
        <v>972</v>
      </c>
      <c r="I40" s="292">
        <f t="shared" si="31"/>
        <v>990</v>
      </c>
      <c r="J40" s="292">
        <f t="shared" si="31"/>
        <v>949</v>
      </c>
      <c r="K40" s="292">
        <f t="shared" si="31"/>
        <v>1178</v>
      </c>
      <c r="M40" s="294" t="s">
        <v>480</v>
      </c>
      <c r="N40" s="270">
        <f>(N37-N38)*N39</f>
        <v>3.9713763392697714E-2</v>
      </c>
      <c r="O40" s="270">
        <f t="shared" ref="O40:V40" si="32">(O37-O38)*O39</f>
        <v>3.6222295221109299E-2</v>
      </c>
      <c r="P40" s="270">
        <f t="shared" si="32"/>
        <v>5.1119253651328009E-2</v>
      </c>
      <c r="Q40" s="270">
        <f t="shared" si="32"/>
        <v>0.19413677255734296</v>
      </c>
      <c r="R40" s="270">
        <f t="shared" si="32"/>
        <v>-0.10261984921882972</v>
      </c>
      <c r="S40" s="270">
        <f t="shared" si="32"/>
        <v>-0.44051798050891483</v>
      </c>
      <c r="T40" s="270">
        <f t="shared" si="32"/>
        <v>-0.11391994965360452</v>
      </c>
      <c r="U40" s="270">
        <f t="shared" si="32"/>
        <v>0.73148688317143917</v>
      </c>
      <c r="V40" s="270">
        <f t="shared" si="32"/>
        <v>-6.4388926833432933E-2</v>
      </c>
      <c r="AD40" s="271">
        <v>1986</v>
      </c>
      <c r="AE40" s="256">
        <v>0.56600000000000006</v>
      </c>
    </row>
    <row r="41" spans="1:31" x14ac:dyDescent="0.25">
      <c r="A41" s="263" t="s">
        <v>471</v>
      </c>
      <c r="B41" s="295">
        <f t="shared" ref="B41:K41" si="33">B31+B32+B40</f>
        <v>1669</v>
      </c>
      <c r="C41" s="295">
        <f t="shared" si="33"/>
        <v>1733</v>
      </c>
      <c r="D41" s="295">
        <f t="shared" si="33"/>
        <v>1766</v>
      </c>
      <c r="E41" s="295">
        <f t="shared" si="33"/>
        <v>1571</v>
      </c>
      <c r="F41" s="295">
        <f t="shared" si="33"/>
        <v>1341</v>
      </c>
      <c r="G41" s="292">
        <f t="shared" si="33"/>
        <v>1424</v>
      </c>
      <c r="H41" s="292">
        <f t="shared" si="33"/>
        <v>1736</v>
      </c>
      <c r="I41" s="292">
        <f t="shared" si="33"/>
        <v>1830</v>
      </c>
      <c r="J41" s="292">
        <f t="shared" si="33"/>
        <v>1161</v>
      </c>
      <c r="K41" s="292">
        <f t="shared" si="33"/>
        <v>1382</v>
      </c>
      <c r="M41" s="271" t="s">
        <v>109</v>
      </c>
      <c r="N41" s="296">
        <f>N37+(N37-N38)*N39</f>
        <v>0.1758443609401513</v>
      </c>
      <c r="O41" s="256">
        <f t="shared" ref="O41:V41" si="34">O37+(O37-O38)*O39</f>
        <v>0.16436874831035414</v>
      </c>
      <c r="P41" s="256">
        <f t="shared" si="34"/>
        <v>0.24078495896622992</v>
      </c>
      <c r="Q41" s="256">
        <f t="shared" si="34"/>
        <v>0.60044150110375272</v>
      </c>
      <c r="R41" s="256">
        <f t="shared" si="34"/>
        <v>-3.2520325203252043E-2</v>
      </c>
      <c r="S41" s="256">
        <f t="shared" si="34"/>
        <v>-0.71735211581705649</v>
      </c>
      <c r="T41" s="256">
        <f t="shared" si="34"/>
        <v>-8.6118706302569736E-2</v>
      </c>
      <c r="U41" s="256">
        <f t="shared" si="34"/>
        <v>1.5162794713660097</v>
      </c>
      <c r="V41" s="256">
        <f t="shared" si="34"/>
        <v>4.3269230769230768E-2</v>
      </c>
      <c r="AD41" s="271">
        <v>1985</v>
      </c>
      <c r="AE41" s="256">
        <v>0.56600000000000006</v>
      </c>
    </row>
    <row r="42" spans="1:31" x14ac:dyDescent="0.25">
      <c r="M42" s="297" t="s">
        <v>110</v>
      </c>
      <c r="N42" s="296">
        <f t="shared" ref="N42:V42" si="35">N41*(1-N12)</f>
        <v>0.13577648725688396</v>
      </c>
      <c r="O42" s="296">
        <f t="shared" si="35"/>
        <v>0.12386050283860502</v>
      </c>
      <c r="P42" s="296">
        <f t="shared" si="35"/>
        <v>0.1820735598049642</v>
      </c>
      <c r="Q42" s="296">
        <f t="shared" si="35"/>
        <v>0.46105329549038149</v>
      </c>
      <c r="R42" s="296">
        <f t="shared" si="35"/>
        <v>-8.7398373983739869E-2</v>
      </c>
      <c r="S42" s="296">
        <f t="shared" si="35"/>
        <v>-0.60989797245813882</v>
      </c>
      <c r="T42" s="296">
        <f t="shared" si="35"/>
        <v>-7.2561955116874882E-2</v>
      </c>
      <c r="U42" s="296">
        <f t="shared" si="35"/>
        <v>1.1028679794417773</v>
      </c>
      <c r="V42" s="296">
        <f t="shared" si="35"/>
        <v>4.3269230769230768E-2</v>
      </c>
      <c r="AD42" s="271">
        <v>1984</v>
      </c>
      <c r="AE42" s="256">
        <v>0.56600000000000006</v>
      </c>
    </row>
    <row r="43" spans="1:31" x14ac:dyDescent="0.25">
      <c r="A43" s="258" t="s">
        <v>512</v>
      </c>
      <c r="B43" s="279">
        <f t="shared" ref="B43:K43" si="36">B41-B29</f>
        <v>0</v>
      </c>
      <c r="C43" s="279">
        <f t="shared" si="36"/>
        <v>0</v>
      </c>
      <c r="D43" s="279">
        <f t="shared" si="36"/>
        <v>0</v>
      </c>
      <c r="E43" s="279">
        <f t="shared" si="36"/>
        <v>0</v>
      </c>
      <c r="F43" s="279">
        <f t="shared" si="36"/>
        <v>0</v>
      </c>
      <c r="G43" s="279">
        <f t="shared" si="36"/>
        <v>0</v>
      </c>
      <c r="H43" s="279">
        <f t="shared" si="36"/>
        <v>0</v>
      </c>
      <c r="I43" s="279">
        <f t="shared" si="36"/>
        <v>0</v>
      </c>
      <c r="J43" s="279">
        <f t="shared" si="36"/>
        <v>0</v>
      </c>
      <c r="K43" s="279">
        <f t="shared" si="36"/>
        <v>0</v>
      </c>
      <c r="AD43" s="271">
        <v>1983</v>
      </c>
      <c r="AE43" s="256">
        <v>0.58099999999999996</v>
      </c>
    </row>
    <row r="44" spans="1:31" ht="18" x14ac:dyDescent="0.25">
      <c r="A44" s="298"/>
      <c r="M44" s="299" t="s">
        <v>15</v>
      </c>
      <c r="AD44" s="271">
        <v>1982</v>
      </c>
      <c r="AE44" s="256">
        <v>0.57799999999999996</v>
      </c>
    </row>
    <row r="45" spans="1:31" x14ac:dyDescent="0.25">
      <c r="M45" s="293" t="s">
        <v>206</v>
      </c>
      <c r="N45" s="289">
        <v>2019</v>
      </c>
      <c r="O45" s="289">
        <v>2018</v>
      </c>
      <c r="P45" s="289">
        <v>2017</v>
      </c>
      <c r="Q45" s="289">
        <v>2016</v>
      </c>
      <c r="R45" s="289">
        <v>2015</v>
      </c>
      <c r="S45" s="290">
        <v>2014</v>
      </c>
      <c r="T45" s="290">
        <v>2013</v>
      </c>
      <c r="U45" s="290">
        <v>2012</v>
      </c>
      <c r="V45" s="290">
        <v>2011</v>
      </c>
      <c r="AD45" s="271">
        <v>1981</v>
      </c>
      <c r="AE45" s="256">
        <v>0.57799999999999996</v>
      </c>
    </row>
    <row r="46" spans="1:31" x14ac:dyDescent="0.25">
      <c r="A46" s="300" t="s">
        <v>513</v>
      </c>
      <c r="M46" s="301" t="s">
        <v>89</v>
      </c>
      <c r="N46" s="270">
        <f t="shared" ref="N46:V46" si="37">(B14-B13)/B6</f>
        <v>4.2071929427731282E-2</v>
      </c>
      <c r="O46" s="270">
        <f t="shared" si="37"/>
        <v>4.5027214250371102E-2</v>
      </c>
      <c r="P46" s="270">
        <f t="shared" si="37"/>
        <v>6.537708129285015E-2</v>
      </c>
      <c r="Q46" s="270">
        <f t="shared" si="37"/>
        <v>0.12305516265912306</v>
      </c>
      <c r="R46" s="270">
        <f t="shared" si="37"/>
        <v>2.0537525354969575E-2</v>
      </c>
      <c r="S46" s="270">
        <f t="shared" si="37"/>
        <v>-8.3818085668958223E-2</v>
      </c>
      <c r="T46" s="270">
        <f t="shared" si="37"/>
        <v>9.0909090909090905E-3</v>
      </c>
      <c r="U46" s="270">
        <f t="shared" si="37"/>
        <v>0.11753183153770813</v>
      </c>
      <c r="V46" s="270">
        <f t="shared" si="37"/>
        <v>2.6473799126637554E-2</v>
      </c>
      <c r="AD46" s="271">
        <v>1980</v>
      </c>
      <c r="AE46" s="256">
        <v>0.56999999999999995</v>
      </c>
    </row>
    <row r="47" spans="1:31" x14ac:dyDescent="0.25">
      <c r="A47" s="280"/>
      <c r="B47" s="284"/>
      <c r="C47" s="284"/>
      <c r="D47" s="284"/>
      <c r="E47" s="284"/>
      <c r="F47" s="284"/>
      <c r="M47" s="301" t="s">
        <v>472</v>
      </c>
      <c r="N47" s="272">
        <f t="shared" ref="N47:V47" si="38">B6/N26</f>
        <v>3.2356632890177006</v>
      </c>
      <c r="O47" s="272">
        <f t="shared" si="38"/>
        <v>2.8459778208061959</v>
      </c>
      <c r="P47" s="272">
        <f t="shared" si="38"/>
        <v>2.9011038970264393</v>
      </c>
      <c r="Q47" s="272">
        <f t="shared" si="38"/>
        <v>3.3018096906012842</v>
      </c>
      <c r="R47" s="272">
        <f t="shared" si="38"/>
        <v>3.4132410212029423</v>
      </c>
      <c r="S47" s="272">
        <f t="shared" si="38"/>
        <v>3.3027971600485548</v>
      </c>
      <c r="T47" s="272">
        <f t="shared" si="38"/>
        <v>3.0581367686138261</v>
      </c>
      <c r="U47" s="272">
        <f t="shared" si="38"/>
        <v>6.6772769378888048</v>
      </c>
      <c r="V47" s="272">
        <f t="shared" si="38"/>
        <v>4.0665926748057712</v>
      </c>
      <c r="AD47" s="271">
        <v>1979</v>
      </c>
      <c r="AE47" s="256">
        <v>0.56499999999999995</v>
      </c>
    </row>
    <row r="48" spans="1:31" x14ac:dyDescent="0.25">
      <c r="A48" s="280"/>
      <c r="B48" s="260">
        <v>2019</v>
      </c>
      <c r="C48" s="260">
        <v>2018</v>
      </c>
      <c r="D48" s="260">
        <v>2017</v>
      </c>
      <c r="E48" s="260">
        <v>2016</v>
      </c>
      <c r="F48" s="260">
        <v>2015</v>
      </c>
      <c r="G48" s="261">
        <v>2014</v>
      </c>
      <c r="H48" s="261">
        <v>2013</v>
      </c>
      <c r="I48" s="261">
        <v>2012</v>
      </c>
      <c r="J48" s="261">
        <v>2011</v>
      </c>
      <c r="K48" s="261">
        <v>2010</v>
      </c>
      <c r="M48" s="302" t="s">
        <v>111</v>
      </c>
      <c r="N48" s="270">
        <f>N46*N47</f>
        <v>0.13613059754745357</v>
      </c>
      <c r="O48" s="270">
        <f t="shared" ref="O48:V48" si="39">O46*O47</f>
        <v>0.12814645308924483</v>
      </c>
      <c r="P48" s="270">
        <f t="shared" si="39"/>
        <v>0.1896657053149019</v>
      </c>
      <c r="Q48" s="270">
        <f t="shared" si="39"/>
        <v>0.40630472854640981</v>
      </c>
      <c r="R48" s="270">
        <f t="shared" si="39"/>
        <v>7.0099524015577674E-2</v>
      </c>
      <c r="S48" s="270">
        <f t="shared" si="39"/>
        <v>-0.27683413530814172</v>
      </c>
      <c r="T48" s="270">
        <f t="shared" si="39"/>
        <v>2.7801243351034781E-2</v>
      </c>
      <c r="U48" s="270">
        <f t="shared" si="39"/>
        <v>0.78479258819457065</v>
      </c>
      <c r="V48" s="270">
        <f t="shared" si="39"/>
        <v>0.1076581576026637</v>
      </c>
      <c r="AD48" s="271">
        <v>1978</v>
      </c>
      <c r="AE48" s="256">
        <v>0.56000000000000005</v>
      </c>
    </row>
    <row r="49" spans="1:31" x14ac:dyDescent="0.25">
      <c r="A49" s="258" t="s">
        <v>514</v>
      </c>
      <c r="B49" s="275">
        <f t="shared" ref="B49:I49" si="40">C54</f>
        <v>649</v>
      </c>
      <c r="C49" s="275">
        <f t="shared" si="40"/>
        <v>868</v>
      </c>
      <c r="D49" s="275">
        <f t="shared" si="40"/>
        <v>878</v>
      </c>
      <c r="E49" s="275">
        <f t="shared" si="40"/>
        <v>610</v>
      </c>
      <c r="F49" s="275">
        <f t="shared" si="40"/>
        <v>374</v>
      </c>
      <c r="G49" s="275">
        <f t="shared" si="40"/>
        <v>483</v>
      </c>
      <c r="H49" s="275">
        <f t="shared" si="40"/>
        <v>451</v>
      </c>
      <c r="I49" s="275">
        <f t="shared" si="40"/>
        <v>212</v>
      </c>
      <c r="J49" s="258">
        <v>204</v>
      </c>
      <c r="M49" s="301"/>
      <c r="AD49" s="271">
        <v>1977</v>
      </c>
      <c r="AE49" s="256">
        <v>0.55500000000000005</v>
      </c>
    </row>
    <row r="50" spans="1:31" ht="18" x14ac:dyDescent="0.25">
      <c r="A50" s="280" t="s">
        <v>108</v>
      </c>
      <c r="B50" s="303">
        <v>89</v>
      </c>
      <c r="C50" s="303">
        <v>81</v>
      </c>
      <c r="D50" s="303">
        <v>130</v>
      </c>
      <c r="E50" s="303">
        <v>268</v>
      </c>
      <c r="F50" s="304">
        <v>-44</v>
      </c>
      <c r="G50" s="304">
        <v>-109</v>
      </c>
      <c r="H50" s="303">
        <v>32</v>
      </c>
      <c r="I50" s="303">
        <v>239</v>
      </c>
      <c r="J50" s="303">
        <v>8</v>
      </c>
      <c r="K50" s="303">
        <v>28</v>
      </c>
      <c r="M50" s="299" t="s">
        <v>16</v>
      </c>
      <c r="AD50" s="271">
        <v>1976</v>
      </c>
      <c r="AE50" s="256">
        <v>0.55000000000000004</v>
      </c>
    </row>
    <row r="51" spans="1:31" x14ac:dyDescent="0.25">
      <c r="A51" s="305" t="s">
        <v>38</v>
      </c>
      <c r="B51" s="306">
        <v>0</v>
      </c>
      <c r="C51" s="306">
        <v>160</v>
      </c>
      <c r="D51" s="306">
        <v>0</v>
      </c>
      <c r="E51" s="306">
        <v>0</v>
      </c>
      <c r="F51" s="306">
        <v>0</v>
      </c>
      <c r="G51" s="306">
        <v>0</v>
      </c>
      <c r="H51" s="306">
        <v>0</v>
      </c>
      <c r="I51" s="306">
        <v>0</v>
      </c>
      <c r="J51" s="306">
        <v>0</v>
      </c>
      <c r="K51" s="306">
        <v>0</v>
      </c>
      <c r="M51" s="293" t="s">
        <v>113</v>
      </c>
      <c r="N51" s="289">
        <v>2019</v>
      </c>
      <c r="O51" s="289">
        <v>2018</v>
      </c>
      <c r="P51" s="289">
        <v>2017</v>
      </c>
      <c r="Q51" s="289">
        <v>2016</v>
      </c>
      <c r="R51" s="289">
        <v>2015</v>
      </c>
      <c r="S51" s="290">
        <v>2014</v>
      </c>
      <c r="T51" s="290">
        <v>2013</v>
      </c>
      <c r="U51" s="290">
        <v>2012</v>
      </c>
      <c r="V51" s="290">
        <v>2011</v>
      </c>
      <c r="AD51" s="271">
        <v>1975</v>
      </c>
      <c r="AE51" s="256">
        <v>0.54500000000000004</v>
      </c>
    </row>
    <row r="52" spans="1:31" x14ac:dyDescent="0.25">
      <c r="A52" s="258" t="s">
        <v>515</v>
      </c>
      <c r="B52" s="306">
        <v>0</v>
      </c>
      <c r="C52" s="307">
        <v>-140</v>
      </c>
      <c r="D52" s="307">
        <v>-140</v>
      </c>
      <c r="E52" s="306">
        <v>0</v>
      </c>
      <c r="F52" s="306">
        <v>280</v>
      </c>
      <c r="G52" s="306">
        <v>0</v>
      </c>
      <c r="H52" s="306">
        <v>0</v>
      </c>
      <c r="I52" s="306">
        <v>0</v>
      </c>
      <c r="J52" s="306">
        <v>0</v>
      </c>
      <c r="K52" s="306">
        <v>0</v>
      </c>
      <c r="M52" s="301" t="s">
        <v>114</v>
      </c>
      <c r="N52" s="308">
        <f t="shared" ref="N52:V52" si="41">(B28-B24)/B39</f>
        <v>2.0259146341463414</v>
      </c>
      <c r="O52" s="308">
        <f t="shared" si="41"/>
        <v>1.8823529411764706</v>
      </c>
      <c r="P52" s="308">
        <f t="shared" si="41"/>
        <v>2.3328611898016995</v>
      </c>
      <c r="Q52" s="308">
        <f t="shared" si="41"/>
        <v>2.586267605633803</v>
      </c>
      <c r="R52" s="308">
        <f t="shared" si="41"/>
        <v>1.7250341997264023</v>
      </c>
      <c r="S52" s="308">
        <f t="shared" si="41"/>
        <v>1.1742857142857144</v>
      </c>
      <c r="T52" s="308">
        <f t="shared" si="41"/>
        <v>1.5668724279835391</v>
      </c>
      <c r="U52" s="308">
        <f t="shared" si="41"/>
        <v>1.494949494949495</v>
      </c>
      <c r="V52" s="308">
        <f t="shared" si="41"/>
        <v>0.65600000000000003</v>
      </c>
      <c r="AD52" s="271">
        <v>1974</v>
      </c>
      <c r="AE52" s="256">
        <v>0.54</v>
      </c>
    </row>
    <row r="53" spans="1:31" x14ac:dyDescent="0.25">
      <c r="M53" s="301" t="s">
        <v>115</v>
      </c>
      <c r="N53" s="308">
        <f t="shared" ref="N53:V53" si="42">B28/B39</f>
        <v>2.5442073170731709</v>
      </c>
      <c r="O53" s="308">
        <f t="shared" si="42"/>
        <v>2.0388235294117649</v>
      </c>
      <c r="P53" s="308">
        <f t="shared" si="42"/>
        <v>2.5014164305949009</v>
      </c>
      <c r="Q53" s="308">
        <f t="shared" si="42"/>
        <v>2.765845070422535</v>
      </c>
      <c r="R53" s="308">
        <f t="shared" si="42"/>
        <v>1.8344733242134064</v>
      </c>
      <c r="S53" s="308">
        <f t="shared" si="42"/>
        <v>1.3009523809523809</v>
      </c>
      <c r="T53" s="308">
        <f t="shared" si="42"/>
        <v>1.6069958847736625</v>
      </c>
      <c r="U53" s="308">
        <f t="shared" si="42"/>
        <v>1.5535353535353535</v>
      </c>
      <c r="V53" s="308">
        <f t="shared" si="42"/>
        <v>1.8426666666666667</v>
      </c>
      <c r="AD53" s="271">
        <v>1973</v>
      </c>
      <c r="AE53" s="256">
        <v>0.53500000000000003</v>
      </c>
    </row>
    <row r="54" spans="1:31" x14ac:dyDescent="0.25">
      <c r="A54" s="258" t="s">
        <v>516</v>
      </c>
      <c r="B54" s="275">
        <f t="shared" ref="B54:J54" si="43">B49+B50-B51+B52</f>
        <v>738</v>
      </c>
      <c r="C54" s="275">
        <f t="shared" si="43"/>
        <v>649</v>
      </c>
      <c r="D54" s="275">
        <f t="shared" si="43"/>
        <v>868</v>
      </c>
      <c r="E54" s="275">
        <f t="shared" si="43"/>
        <v>878</v>
      </c>
      <c r="F54" s="275">
        <f t="shared" si="43"/>
        <v>610</v>
      </c>
      <c r="G54" s="275">
        <f t="shared" si="43"/>
        <v>374</v>
      </c>
      <c r="H54" s="275">
        <f t="shared" si="43"/>
        <v>483</v>
      </c>
      <c r="I54" s="275">
        <f t="shared" si="43"/>
        <v>451</v>
      </c>
      <c r="J54" s="275">
        <f t="shared" si="43"/>
        <v>212</v>
      </c>
      <c r="M54" s="301" t="s">
        <v>117</v>
      </c>
      <c r="N54" s="308">
        <f t="shared" ref="N54:V54" si="44">(N15+N16)/B29</f>
        <v>0.57168963451168364</v>
      </c>
      <c r="O54" s="308">
        <f t="shared" si="44"/>
        <v>0.4798153491055972</v>
      </c>
      <c r="P54" s="308">
        <f t="shared" si="44"/>
        <v>0.57643261608154017</v>
      </c>
      <c r="Q54" s="308">
        <f t="shared" si="44"/>
        <v>0.62094207511139399</v>
      </c>
      <c r="R54" s="308">
        <f t="shared" si="44"/>
        <v>0.45488441461595824</v>
      </c>
      <c r="S54" s="308">
        <f t="shared" si="44"/>
        <v>0.26264044943820225</v>
      </c>
      <c r="T54" s="308">
        <f t="shared" si="44"/>
        <v>0.40448156682027653</v>
      </c>
      <c r="U54" s="308">
        <f t="shared" si="44"/>
        <v>0.4031109289617486</v>
      </c>
      <c r="V54" s="308">
        <f t="shared" si="44"/>
        <v>0.1826012058570198</v>
      </c>
      <c r="AD54" s="271">
        <v>1972</v>
      </c>
      <c r="AE54" s="256">
        <v>0.53</v>
      </c>
    </row>
    <row r="55" spans="1:31" x14ac:dyDescent="0.25">
      <c r="A55" s="298"/>
      <c r="B55" s="284"/>
      <c r="C55" s="284"/>
      <c r="D55" s="284"/>
      <c r="E55" s="284"/>
      <c r="F55" s="284"/>
      <c r="G55" s="284"/>
      <c r="M55" s="301" t="s">
        <v>118</v>
      </c>
      <c r="N55" s="308">
        <f t="shared" ref="N55:V55" si="45">(N15+N16)/N20</f>
        <v>0.70879916799762277</v>
      </c>
      <c r="O55" s="308">
        <f t="shared" si="45"/>
        <v>0.59971727778899686</v>
      </c>
      <c r="P55" s="308">
        <f t="shared" si="45"/>
        <v>0.7001334268696956</v>
      </c>
      <c r="Q55" s="308">
        <f t="shared" si="45"/>
        <v>0.71648916636063165</v>
      </c>
      <c r="R55" s="308">
        <f t="shared" si="45"/>
        <v>0.50496688741721851</v>
      </c>
      <c r="S55" s="308">
        <f t="shared" si="45"/>
        <v>0.33907524932003624</v>
      </c>
      <c r="T55" s="308">
        <f t="shared" si="45"/>
        <v>0.59146885897673485</v>
      </c>
      <c r="U55" s="308">
        <f t="shared" si="45"/>
        <v>0.55436753631378533</v>
      </c>
      <c r="V55" s="308">
        <f t="shared" si="45"/>
        <v>0.2617283950617284</v>
      </c>
      <c r="AD55" s="271">
        <v>1971</v>
      </c>
      <c r="AE55" s="256">
        <v>0.52500000000000002</v>
      </c>
    </row>
    <row r="56" spans="1:31" x14ac:dyDescent="0.25">
      <c r="A56" s="258" t="s">
        <v>517</v>
      </c>
      <c r="B56" s="258">
        <v>738</v>
      </c>
      <c r="C56" s="258">
        <v>649</v>
      </c>
      <c r="D56" s="258">
        <v>869</v>
      </c>
      <c r="E56" s="258">
        <v>878</v>
      </c>
      <c r="F56" s="258">
        <v>610</v>
      </c>
      <c r="G56" s="258">
        <v>374</v>
      </c>
      <c r="H56" s="258">
        <v>483</v>
      </c>
      <c r="I56" s="258">
        <v>451</v>
      </c>
      <c r="J56" s="258">
        <v>212</v>
      </c>
      <c r="K56" s="258">
        <v>204</v>
      </c>
      <c r="M56" s="301"/>
      <c r="AD56" s="271">
        <v>1970</v>
      </c>
      <c r="AE56" s="256">
        <v>0.52</v>
      </c>
    </row>
    <row r="57" spans="1:31" ht="18" x14ac:dyDescent="0.25">
      <c r="B57" s="258" t="b">
        <f>B54=B56</f>
        <v>1</v>
      </c>
      <c r="C57" s="258" t="b">
        <f t="shared" ref="C57:J57" si="46">C54=C56</f>
        <v>1</v>
      </c>
      <c r="D57" s="258" t="b">
        <f t="shared" si="46"/>
        <v>0</v>
      </c>
      <c r="E57" s="258" t="b">
        <f t="shared" si="46"/>
        <v>1</v>
      </c>
      <c r="F57" s="258" t="b">
        <f t="shared" si="46"/>
        <v>1</v>
      </c>
      <c r="G57" s="258" t="b">
        <f t="shared" si="46"/>
        <v>1</v>
      </c>
      <c r="H57" s="258" t="b">
        <f t="shared" si="46"/>
        <v>1</v>
      </c>
      <c r="I57" s="258" t="b">
        <f t="shared" si="46"/>
        <v>1</v>
      </c>
      <c r="J57" s="258" t="b">
        <f t="shared" si="46"/>
        <v>1</v>
      </c>
      <c r="M57" s="299" t="s">
        <v>220</v>
      </c>
    </row>
    <row r="58" spans="1:31" x14ac:dyDescent="0.25">
      <c r="B58" s="275"/>
      <c r="C58" s="275"/>
      <c r="D58" s="275"/>
      <c r="E58" s="275"/>
      <c r="F58" s="275"/>
      <c r="G58" s="275"/>
      <c r="H58" s="275"/>
      <c r="I58" s="275"/>
      <c r="J58" s="275"/>
      <c r="K58" s="275"/>
      <c r="M58" s="293" t="s">
        <v>505</v>
      </c>
      <c r="N58" s="289">
        <v>2019</v>
      </c>
      <c r="O58" s="289">
        <v>2018</v>
      </c>
      <c r="P58" s="289">
        <v>2017</v>
      </c>
      <c r="Q58" s="289">
        <v>2016</v>
      </c>
      <c r="R58" s="289">
        <v>2015</v>
      </c>
      <c r="S58" s="290">
        <v>2014</v>
      </c>
      <c r="T58" s="290">
        <v>2013</v>
      </c>
      <c r="U58" s="290">
        <v>2012</v>
      </c>
      <c r="V58" s="290">
        <v>2011</v>
      </c>
    </row>
    <row r="59" spans="1:31" x14ac:dyDescent="0.25">
      <c r="M59" s="301" t="s">
        <v>438</v>
      </c>
      <c r="N59" s="273">
        <f t="shared" ref="N59:V59" si="47">-SUM(B7:B10)/N29</f>
        <v>17.906976744186046</v>
      </c>
      <c r="O59" s="273">
        <f t="shared" si="47"/>
        <v>30.634920634920636</v>
      </c>
      <c r="P59" s="273">
        <f t="shared" si="47"/>
        <v>34.542986425339365</v>
      </c>
      <c r="Q59" s="273">
        <f t="shared" si="47"/>
        <v>40.879120879120876</v>
      </c>
      <c r="R59" s="273">
        <f t="shared" si="47"/>
        <v>36.272300469483568</v>
      </c>
      <c r="S59" s="273">
        <f t="shared" si="47"/>
        <v>47.662790697674417</v>
      </c>
      <c r="T59" s="273">
        <f t="shared" si="47"/>
        <v>78.659793814432987</v>
      </c>
      <c r="U59" s="273">
        <f t="shared" si="47"/>
        <v>25.077534791252486</v>
      </c>
      <c r="V59" s="273">
        <f t="shared" si="47"/>
        <v>6.9329446064139946</v>
      </c>
    </row>
    <row r="60" spans="1:31" x14ac:dyDescent="0.25">
      <c r="M60" s="301" t="s">
        <v>439</v>
      </c>
      <c r="N60" s="272">
        <f>365/N59</f>
        <v>20.383116883116884</v>
      </c>
      <c r="O60" s="272">
        <f t="shared" ref="O60:V60" si="48">365/O59</f>
        <v>11.914507772020725</v>
      </c>
      <c r="P60" s="272">
        <f t="shared" si="48"/>
        <v>10.566544406602045</v>
      </c>
      <c r="Q60" s="272">
        <f t="shared" si="48"/>
        <v>8.9287634408602159</v>
      </c>
      <c r="R60" s="272">
        <f t="shared" si="48"/>
        <v>10.06277504530158</v>
      </c>
      <c r="S60" s="272">
        <f t="shared" si="48"/>
        <v>7.6579653574042448</v>
      </c>
      <c r="T60" s="272">
        <f t="shared" si="48"/>
        <v>4.640235910878113</v>
      </c>
      <c r="U60" s="272">
        <f t="shared" si="48"/>
        <v>14.554859679720945</v>
      </c>
      <c r="V60" s="272">
        <f t="shared" si="48"/>
        <v>52.647182506307821</v>
      </c>
    </row>
    <row r="61" spans="1:31" x14ac:dyDescent="0.25">
      <c r="M61" s="301" t="s">
        <v>440</v>
      </c>
      <c r="N61" s="272">
        <f t="shared" ref="N61:V61" si="49">(B6*1.25)/N30</f>
        <v>42.509615384615387</v>
      </c>
      <c r="O61" s="272">
        <f t="shared" si="49"/>
        <v>52.357512953367873</v>
      </c>
      <c r="P61" s="272">
        <f t="shared" si="49"/>
        <v>85.798319327731093</v>
      </c>
      <c r="Q61" s="272">
        <f t="shared" si="49"/>
        <v>57.016129032258064</v>
      </c>
      <c r="R61" s="272">
        <f t="shared" si="49"/>
        <v>28.171428571428571</v>
      </c>
      <c r="S61" s="272">
        <f t="shared" si="49"/>
        <v>19.256619144602851</v>
      </c>
      <c r="T61" s="272">
        <f t="shared" si="49"/>
        <v>19.327309236947791</v>
      </c>
      <c r="U61" s="272">
        <f t="shared" si="49"/>
        <v>44.336228287841188</v>
      </c>
      <c r="V61" s="272">
        <f t="shared" si="49"/>
        <v>23.730569948186528</v>
      </c>
    </row>
    <row r="62" spans="1:31" x14ac:dyDescent="0.25">
      <c r="M62" s="301" t="s">
        <v>441</v>
      </c>
      <c r="N62" s="272">
        <f>365/N61</f>
        <v>8.5862926939606421</v>
      </c>
      <c r="O62" s="272">
        <f t="shared" ref="O62:V62" si="50">365/O61</f>
        <v>6.9713013359722913</v>
      </c>
      <c r="P62" s="272">
        <f t="shared" si="50"/>
        <v>4.2541625857002936</v>
      </c>
      <c r="Q62" s="272">
        <f t="shared" si="50"/>
        <v>6.4016973125884018</v>
      </c>
      <c r="R62" s="272">
        <f t="shared" si="50"/>
        <v>12.956389452332658</v>
      </c>
      <c r="S62" s="272">
        <f t="shared" si="50"/>
        <v>18.954521417239555</v>
      </c>
      <c r="T62" s="272">
        <f t="shared" si="50"/>
        <v>18.885194805194807</v>
      </c>
      <c r="U62" s="272">
        <f t="shared" si="50"/>
        <v>8.2325451238281797</v>
      </c>
      <c r="V62" s="272">
        <f t="shared" si="50"/>
        <v>15.381004366812228</v>
      </c>
    </row>
  </sheetData>
  <hyperlinks>
    <hyperlink ref="AI6" r:id="rId1" xr:uid="{EAA3DFBE-A12F-481D-84BF-6C862A248F42}"/>
    <hyperlink ref="AI5" r:id="rId2" xr:uid="{90C43A29-A342-4B4F-8DB1-1C514992D968}"/>
  </hyperlinks>
  <pageMargins left="0.7" right="0.7" top="0.75" bottom="0.75" header="0.3" footer="0.3"/>
  <pageSetup paperSize="9" orientation="portrait" horizontalDpi="300" verticalDpi="300" r:id="rId3"/>
  <drawing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zoomScaleNormal="100" workbookViewId="0">
      <selection activeCell="H15" sqref="H15"/>
    </sheetView>
  </sheetViews>
  <sheetFormatPr defaultColWidth="8.85546875" defaultRowHeight="12.75" x14ac:dyDescent="0.2"/>
  <cols>
    <col min="1" max="1" width="17.42578125" bestFit="1" customWidth="1"/>
    <col min="3" max="3" width="1.7109375" style="114" customWidth="1"/>
    <col min="4" max="4" width="1.7109375" style="126" customWidth="1"/>
    <col min="5" max="5" width="1.7109375" style="114" customWidth="1"/>
    <col min="6" max="6" width="30.42578125" bestFit="1" customWidth="1"/>
    <col min="7" max="9" width="8.42578125" customWidth="1"/>
    <col min="10" max="10" width="12.42578125" bestFit="1" customWidth="1"/>
    <col min="11" max="11" width="1.7109375" style="114" customWidth="1"/>
    <col min="12" max="12" width="1.7109375" style="126" customWidth="1"/>
    <col min="13" max="13" width="1.7109375" style="114" customWidth="1"/>
    <col min="14" max="14" width="18.85546875" bestFit="1" customWidth="1"/>
    <col min="16" max="16" width="16" customWidth="1"/>
    <col min="17" max="17" width="20.140625" customWidth="1"/>
  </cols>
  <sheetData>
    <row r="1" spans="1:18" ht="14.25" thickTop="1" thickBot="1" x14ac:dyDescent="0.25">
      <c r="A1" s="112" t="s">
        <v>223</v>
      </c>
      <c r="F1" s="112" t="s">
        <v>224</v>
      </c>
      <c r="N1" s="112" t="s">
        <v>222</v>
      </c>
    </row>
    <row r="2" spans="1:18" ht="13.5" thickTop="1" x14ac:dyDescent="0.2">
      <c r="A2" t="s">
        <v>35</v>
      </c>
      <c r="B2">
        <v>250</v>
      </c>
    </row>
    <row r="3" spans="1:18" x14ac:dyDescent="0.2">
      <c r="A3" t="s">
        <v>36</v>
      </c>
      <c r="B3">
        <v>265</v>
      </c>
      <c r="C3" s="115"/>
      <c r="D3" s="127"/>
      <c r="F3" s="37"/>
      <c r="G3" s="52" t="s">
        <v>225</v>
      </c>
      <c r="H3" s="9"/>
      <c r="I3" s="9"/>
      <c r="J3" s="9"/>
      <c r="K3" s="115"/>
      <c r="L3" s="127"/>
      <c r="N3" s="9" t="s">
        <v>28</v>
      </c>
    </row>
    <row r="4" spans="1:18" ht="13.5" thickBot="1" x14ac:dyDescent="0.25">
      <c r="A4" t="s">
        <v>37</v>
      </c>
      <c r="B4">
        <f>B3-B2</f>
        <v>15</v>
      </c>
      <c r="C4" s="116"/>
      <c r="D4" s="128"/>
      <c r="F4" s="39" t="s">
        <v>41</v>
      </c>
      <c r="G4" s="38"/>
      <c r="H4" s="9"/>
      <c r="I4" s="9"/>
      <c r="J4" s="9"/>
      <c r="K4" s="116"/>
      <c r="L4" s="128"/>
      <c r="N4" s="9" t="s">
        <v>29</v>
      </c>
    </row>
    <row r="5" spans="1:18" x14ac:dyDescent="0.2">
      <c r="A5" t="s">
        <v>38</v>
      </c>
      <c r="B5">
        <v>5</v>
      </c>
      <c r="C5" s="116"/>
      <c r="D5" s="128"/>
      <c r="F5" s="40" t="s">
        <v>42</v>
      </c>
      <c r="G5" s="43">
        <v>3320</v>
      </c>
      <c r="H5" s="343" t="s">
        <v>610</v>
      </c>
      <c r="I5" s="343"/>
      <c r="J5" s="343"/>
      <c r="K5" s="116"/>
      <c r="L5" s="128"/>
      <c r="N5" s="17" t="s">
        <v>20</v>
      </c>
      <c r="O5" s="17" t="s">
        <v>21</v>
      </c>
      <c r="P5" s="17" t="s">
        <v>226</v>
      </c>
    </row>
    <row r="6" spans="1:18" x14ac:dyDescent="0.2">
      <c r="C6" s="116"/>
      <c r="D6" s="128"/>
      <c r="F6" s="39" t="s">
        <v>43</v>
      </c>
      <c r="G6" s="44">
        <v>350</v>
      </c>
      <c r="H6" s="44"/>
      <c r="I6" s="44"/>
      <c r="J6" s="44"/>
      <c r="K6" s="116"/>
      <c r="L6" s="128"/>
      <c r="N6" t="s">
        <v>25</v>
      </c>
      <c r="O6" s="27">
        <v>1.2</v>
      </c>
      <c r="P6" s="28">
        <v>1100</v>
      </c>
    </row>
    <row r="7" spans="1:18" x14ac:dyDescent="0.2">
      <c r="A7" t="s">
        <v>34</v>
      </c>
      <c r="B7" s="13">
        <f>(B4+B5)/B2</f>
        <v>0.08</v>
      </c>
      <c r="C7" s="116"/>
      <c r="D7" s="128"/>
      <c r="F7" s="39" t="s">
        <v>44</v>
      </c>
      <c r="G7" s="44">
        <v>200</v>
      </c>
      <c r="H7" s="44"/>
      <c r="I7" s="44"/>
      <c r="J7" s="44"/>
      <c r="K7" s="116"/>
      <c r="L7" s="128"/>
      <c r="N7" t="s">
        <v>26</v>
      </c>
      <c r="O7" s="27">
        <v>1.5</v>
      </c>
      <c r="P7" s="28">
        <v>550</v>
      </c>
    </row>
    <row r="8" spans="1:18" ht="13.5" thickBot="1" x14ac:dyDescent="0.25">
      <c r="C8" s="116"/>
      <c r="D8" s="128"/>
      <c r="F8" s="39" t="s">
        <v>45</v>
      </c>
      <c r="G8" s="44">
        <v>80</v>
      </c>
      <c r="H8" s="44"/>
      <c r="I8" s="44"/>
      <c r="J8" s="44"/>
      <c r="K8" s="116"/>
      <c r="L8" s="128"/>
      <c r="N8" s="16" t="s">
        <v>27</v>
      </c>
      <c r="O8" s="29">
        <v>2</v>
      </c>
      <c r="P8" s="30">
        <v>320</v>
      </c>
    </row>
    <row r="9" spans="1:18" x14ac:dyDescent="0.2">
      <c r="A9" t="s">
        <v>39</v>
      </c>
      <c r="B9" s="1">
        <v>0.01</v>
      </c>
      <c r="C9" s="116"/>
      <c r="D9" s="128"/>
      <c r="F9" s="40" t="s">
        <v>46</v>
      </c>
      <c r="G9" s="43">
        <f>SUM(G6:G8)</f>
        <v>630</v>
      </c>
      <c r="H9" s="44"/>
      <c r="I9" s="44"/>
      <c r="J9" s="44"/>
      <c r="K9" s="116"/>
      <c r="L9" s="128"/>
    </row>
    <row r="10" spans="1:18" ht="13.5" thickBot="1" x14ac:dyDescent="0.25">
      <c r="A10" t="s">
        <v>40</v>
      </c>
      <c r="B10" s="1">
        <f>B7-B9</f>
        <v>7.0000000000000007E-2</v>
      </c>
      <c r="C10" s="116"/>
      <c r="D10" s="128"/>
      <c r="F10" s="42" t="s">
        <v>47</v>
      </c>
      <c r="G10" s="43">
        <f>G5+G9</f>
        <v>3950</v>
      </c>
      <c r="H10" s="44"/>
      <c r="I10" s="44"/>
      <c r="J10" s="44"/>
      <c r="K10" s="116"/>
      <c r="L10" s="128"/>
      <c r="N10" s="9" t="s">
        <v>30</v>
      </c>
      <c r="Q10" s="31">
        <f>O12*(P12/P15)+O13*(P13/P15)+O14*(P14/P15)</f>
        <v>1.4137055837563453</v>
      </c>
    </row>
    <row r="11" spans="1:18" x14ac:dyDescent="0.2">
      <c r="F11" s="39" t="s">
        <v>48</v>
      </c>
      <c r="G11" s="44"/>
      <c r="H11" s="44"/>
      <c r="I11" s="44"/>
      <c r="J11" s="44"/>
      <c r="N11" s="17" t="s">
        <v>20</v>
      </c>
      <c r="O11" s="17" t="s">
        <v>21</v>
      </c>
      <c r="P11" s="17" t="s">
        <v>22</v>
      </c>
      <c r="Q11" s="17" t="s">
        <v>23</v>
      </c>
      <c r="R11" s="22" t="s">
        <v>24</v>
      </c>
    </row>
    <row r="12" spans="1:18" x14ac:dyDescent="0.2">
      <c r="C12" s="115"/>
      <c r="D12" s="127"/>
      <c r="F12" s="39" t="s">
        <v>49</v>
      </c>
      <c r="G12" s="44">
        <v>600</v>
      </c>
      <c r="H12" s="44"/>
      <c r="I12" s="44"/>
      <c r="J12" s="44"/>
      <c r="K12" s="115"/>
      <c r="L12" s="127"/>
      <c r="N12" t="s">
        <v>25</v>
      </c>
      <c r="O12" s="25">
        <v>1.2</v>
      </c>
      <c r="P12" s="2">
        <v>1100</v>
      </c>
      <c r="Q12" s="11">
        <f>P12/$P$15</f>
        <v>0.55837563451776651</v>
      </c>
      <c r="R12" s="23">
        <f>O12*Q12</f>
        <v>0.67005076142131981</v>
      </c>
    </row>
    <row r="13" spans="1:18" x14ac:dyDescent="0.2">
      <c r="C13" s="117"/>
      <c r="D13" s="129"/>
      <c r="F13" s="39" t="s">
        <v>50</v>
      </c>
      <c r="G13" s="44">
        <v>250</v>
      </c>
      <c r="H13" s="44"/>
      <c r="I13" s="44"/>
      <c r="J13" s="44"/>
      <c r="K13" s="117"/>
      <c r="L13" s="129"/>
      <c r="N13" t="s">
        <v>26</v>
      </c>
      <c r="O13" s="25">
        <v>1.5</v>
      </c>
      <c r="P13" s="2">
        <v>550</v>
      </c>
      <c r="Q13" s="11">
        <f>P13/$P$15</f>
        <v>0.27918781725888325</v>
      </c>
      <c r="R13" s="23">
        <f>O13*Q13</f>
        <v>0.41878172588832485</v>
      </c>
    </row>
    <row r="14" spans="1:18" x14ac:dyDescent="0.2">
      <c r="C14" s="117"/>
      <c r="D14" s="129"/>
      <c r="F14" s="40" t="s">
        <v>51</v>
      </c>
      <c r="G14" s="43">
        <f>SUM(G12:G13)</f>
        <v>850</v>
      </c>
      <c r="H14" s="343" t="s">
        <v>610</v>
      </c>
      <c r="I14" s="343"/>
      <c r="J14" s="343"/>
      <c r="K14" s="117"/>
      <c r="L14" s="129"/>
      <c r="N14" s="15" t="s">
        <v>27</v>
      </c>
      <c r="O14" s="26">
        <v>2</v>
      </c>
      <c r="P14" s="19">
        <v>320</v>
      </c>
      <c r="Q14" s="20">
        <f>P14/$P$15</f>
        <v>0.16243654822335024</v>
      </c>
      <c r="R14" s="24">
        <f>O14*Q14</f>
        <v>0.32487309644670048</v>
      </c>
    </row>
    <row r="15" spans="1:18" ht="13.5" thickBot="1" x14ac:dyDescent="0.25">
      <c r="A15" s="328" t="s">
        <v>560</v>
      </c>
      <c r="B15" s="328"/>
      <c r="C15" s="117"/>
      <c r="D15" s="129"/>
      <c r="F15" s="39" t="s">
        <v>52</v>
      </c>
      <c r="G15" s="44">
        <v>2500</v>
      </c>
      <c r="H15" s="44"/>
      <c r="I15" s="44"/>
      <c r="J15" s="44"/>
      <c r="K15" s="117"/>
      <c r="L15" s="129"/>
      <c r="N15" s="16"/>
      <c r="O15" s="16"/>
      <c r="P15" s="16">
        <f>SUM(P12:P14)</f>
        <v>1970</v>
      </c>
      <c r="Q15" s="18">
        <f>P15/$P$15</f>
        <v>1</v>
      </c>
      <c r="R15" s="21">
        <f>SUM(R12:R14)</f>
        <v>1.4137055837563453</v>
      </c>
    </row>
    <row r="16" spans="1:18" x14ac:dyDescent="0.2">
      <c r="C16" s="117"/>
      <c r="D16" s="129"/>
      <c r="F16" s="39" t="s">
        <v>64</v>
      </c>
      <c r="G16" s="44">
        <v>200</v>
      </c>
      <c r="H16" s="44"/>
      <c r="I16" s="44"/>
      <c r="J16" s="44"/>
      <c r="K16" s="117"/>
      <c r="L16" s="129"/>
      <c r="P16" s="14"/>
      <c r="Q16" s="14"/>
    </row>
    <row r="17" spans="3:20" x14ac:dyDescent="0.2">
      <c r="C17" s="117"/>
      <c r="D17" s="129"/>
      <c r="F17" s="39" t="s">
        <v>65</v>
      </c>
      <c r="G17" s="44">
        <v>400</v>
      </c>
      <c r="H17" s="44"/>
      <c r="I17" s="44"/>
      <c r="J17" s="44"/>
      <c r="K17" s="117"/>
      <c r="L17" s="129"/>
      <c r="N17" s="9" t="s">
        <v>31</v>
      </c>
      <c r="T17" s="13"/>
    </row>
    <row r="18" spans="3:20" x14ac:dyDescent="0.2">
      <c r="C18" s="118"/>
      <c r="D18" s="130"/>
      <c r="F18" s="40" t="s">
        <v>53</v>
      </c>
      <c r="G18" s="43">
        <f>SUM(G15:G17)</f>
        <v>3100</v>
      </c>
      <c r="H18" s="44"/>
      <c r="I18" s="44"/>
      <c r="J18" s="44"/>
      <c r="K18" s="118"/>
      <c r="L18" s="130"/>
      <c r="T18" s="13"/>
    </row>
    <row r="19" spans="3:20" ht="13.5" thickBot="1" x14ac:dyDescent="0.25">
      <c r="C19" s="119"/>
      <c r="D19" s="131"/>
      <c r="F19" s="42" t="s">
        <v>54</v>
      </c>
      <c r="G19" s="43">
        <f>G14+G18</f>
        <v>3950</v>
      </c>
      <c r="H19" s="44"/>
      <c r="I19" s="44"/>
      <c r="J19" s="44"/>
      <c r="K19" s="119"/>
      <c r="L19" s="131"/>
      <c r="N19" s="9" t="s">
        <v>522</v>
      </c>
      <c r="Q19" s="31">
        <f>O21*(P21/P24)+O22*(P22/P24)+O23*(P23/P24)</f>
        <v>1.0888324873096447</v>
      </c>
      <c r="R19" s="11"/>
      <c r="T19" s="13"/>
    </row>
    <row r="20" spans="3:20" x14ac:dyDescent="0.2">
      <c r="C20" s="120"/>
      <c r="D20" s="132"/>
      <c r="K20" s="120"/>
      <c r="L20" s="132"/>
      <c r="N20" s="17" t="s">
        <v>20</v>
      </c>
      <c r="O20" s="17" t="s">
        <v>21</v>
      </c>
      <c r="P20" s="33" t="s">
        <v>22</v>
      </c>
      <c r="Q20" s="22" t="s">
        <v>23</v>
      </c>
      <c r="R20" s="22" t="s">
        <v>24</v>
      </c>
      <c r="T20" s="13"/>
    </row>
    <row r="21" spans="3:20" x14ac:dyDescent="0.2">
      <c r="C21" s="120"/>
      <c r="D21" s="132"/>
      <c r="F21" t="s">
        <v>56</v>
      </c>
      <c r="G21" s="1">
        <v>0.05</v>
      </c>
      <c r="H21" s="1"/>
      <c r="I21" s="1"/>
      <c r="J21" s="1"/>
      <c r="K21" s="120"/>
      <c r="L21" s="132"/>
      <c r="N21" t="s">
        <v>25</v>
      </c>
      <c r="O21" s="25">
        <v>1.2</v>
      </c>
      <c r="P21" s="34">
        <v>1100</v>
      </c>
      <c r="Q21" s="11">
        <f>P21/$P$15</f>
        <v>0.55837563451776651</v>
      </c>
      <c r="R21" s="23">
        <f>O21*Q21</f>
        <v>0.67005076142131981</v>
      </c>
    </row>
    <row r="22" spans="3:20" x14ac:dyDescent="0.2">
      <c r="C22" s="120"/>
      <c r="D22" s="132"/>
      <c r="F22" t="s">
        <v>57</v>
      </c>
      <c r="G22" s="1">
        <v>0.04</v>
      </c>
      <c r="H22" s="1"/>
      <c r="I22" s="1"/>
      <c r="J22" s="1"/>
      <c r="K22" s="120"/>
      <c r="L22" s="132"/>
      <c r="N22" t="s">
        <v>26</v>
      </c>
      <c r="O22" s="25">
        <v>1.5</v>
      </c>
      <c r="P22" s="34">
        <v>550</v>
      </c>
      <c r="Q22" s="11">
        <f>P22/$P$15</f>
        <v>0.27918781725888325</v>
      </c>
      <c r="R22" s="23">
        <f>O22*Q22</f>
        <v>0.41878172588832485</v>
      </c>
    </row>
    <row r="23" spans="3:20" x14ac:dyDescent="0.2">
      <c r="N23" s="15" t="s">
        <v>33</v>
      </c>
      <c r="O23" s="26">
        <v>0</v>
      </c>
      <c r="P23" s="35">
        <v>320</v>
      </c>
      <c r="Q23" s="20">
        <f>P23/$P$15</f>
        <v>0.16243654822335024</v>
      </c>
      <c r="R23" s="24">
        <f>O23*Q23</f>
        <v>0</v>
      </c>
    </row>
    <row r="24" spans="3:20" ht="13.5" thickBot="1" x14ac:dyDescent="0.25">
      <c r="C24" s="115"/>
      <c r="D24" s="127"/>
      <c r="F24" t="s">
        <v>58</v>
      </c>
      <c r="G24" s="1">
        <v>0.12</v>
      </c>
      <c r="H24" s="1"/>
      <c r="I24" s="1"/>
      <c r="J24" s="1"/>
      <c r="K24" s="115"/>
      <c r="L24" s="127"/>
      <c r="N24" s="16"/>
      <c r="O24" s="16"/>
      <c r="P24" s="36">
        <f>SUM(P21:P23)</f>
        <v>1970</v>
      </c>
      <c r="Q24" s="18">
        <f>P24/$P$15</f>
        <v>1</v>
      </c>
      <c r="R24" s="21">
        <f>SUM(R21:R23)</f>
        <v>1.0888324873096447</v>
      </c>
    </row>
    <row r="25" spans="3:20" x14ac:dyDescent="0.2">
      <c r="C25" s="120"/>
      <c r="D25" s="132"/>
      <c r="K25" s="120"/>
      <c r="L25" s="132"/>
      <c r="S25" s="12"/>
    </row>
    <row r="26" spans="3:20" ht="13.5" thickBot="1" x14ac:dyDescent="0.25">
      <c r="C26" s="121"/>
      <c r="D26" s="133"/>
      <c r="F26" t="s">
        <v>61</v>
      </c>
      <c r="K26" s="121"/>
      <c r="L26" s="133"/>
      <c r="N26" s="9" t="s">
        <v>523</v>
      </c>
      <c r="Q26" s="31">
        <f>O28*(P28/P30)+O29*(P29/P30)</f>
        <v>1.2999999999999998</v>
      </c>
      <c r="S26" s="12"/>
    </row>
    <row r="27" spans="3:20" x14ac:dyDescent="0.2">
      <c r="C27" s="120"/>
      <c r="D27" s="132"/>
      <c r="F27" t="s">
        <v>60</v>
      </c>
      <c r="K27" s="120"/>
      <c r="L27" s="132"/>
      <c r="N27" s="17" t="s">
        <v>20</v>
      </c>
      <c r="O27" s="17" t="s">
        <v>21</v>
      </c>
      <c r="P27" s="17" t="s">
        <v>22</v>
      </c>
      <c r="Q27" s="17" t="s">
        <v>23</v>
      </c>
      <c r="R27" s="22" t="s">
        <v>24</v>
      </c>
      <c r="S27" s="12"/>
    </row>
    <row r="28" spans="3:20" x14ac:dyDescent="0.2">
      <c r="C28" s="120"/>
      <c r="D28" s="132"/>
      <c r="K28" s="120"/>
      <c r="L28" s="132"/>
      <c r="N28" t="s">
        <v>25</v>
      </c>
      <c r="O28" s="25">
        <v>1.2</v>
      </c>
      <c r="P28" s="2">
        <v>1100</v>
      </c>
      <c r="Q28" s="11">
        <f>P28/$P$30</f>
        <v>0.66666666666666663</v>
      </c>
      <c r="R28" s="23">
        <f>O28*Q28</f>
        <v>0.79999999999999993</v>
      </c>
      <c r="S28" s="12"/>
    </row>
    <row r="29" spans="3:20" x14ac:dyDescent="0.2">
      <c r="F29" s="41" t="s">
        <v>68</v>
      </c>
      <c r="G29" s="45" t="s">
        <v>225</v>
      </c>
      <c r="H29" s="45" t="s">
        <v>62</v>
      </c>
      <c r="I29" s="45" t="s">
        <v>63</v>
      </c>
      <c r="J29" s="45" t="s">
        <v>67</v>
      </c>
      <c r="N29" s="15" t="s">
        <v>26</v>
      </c>
      <c r="O29" s="26">
        <v>1.5</v>
      </c>
      <c r="P29" s="19">
        <v>550</v>
      </c>
      <c r="Q29" s="20">
        <f>P29/$P$30</f>
        <v>0.33333333333333331</v>
      </c>
      <c r="R29" s="24">
        <f>O29*Q29</f>
        <v>0.5</v>
      </c>
    </row>
    <row r="30" spans="3:20" ht="13.5" thickBot="1" x14ac:dyDescent="0.25">
      <c r="C30" s="115"/>
      <c r="D30" s="127"/>
      <c r="F30" s="40" t="s">
        <v>51</v>
      </c>
      <c r="G30" s="43">
        <f>G14</f>
        <v>850</v>
      </c>
      <c r="H30" s="46">
        <f>G30/$G$34</f>
        <v>0.23943661971830985</v>
      </c>
      <c r="I30" s="48">
        <f>G24</f>
        <v>0.12</v>
      </c>
      <c r="J30" s="49">
        <f>H30*I30</f>
        <v>2.8732394366197182E-2</v>
      </c>
      <c r="K30" s="115"/>
      <c r="L30" s="127"/>
      <c r="N30" s="16"/>
      <c r="O30" s="16"/>
      <c r="P30" s="32">
        <f>SUM(P28:P29)</f>
        <v>1650</v>
      </c>
      <c r="Q30" s="18">
        <f>SUM(Q28:Q29)</f>
        <v>1</v>
      </c>
      <c r="R30" s="21">
        <f>SUM(R28:R29)</f>
        <v>1.2999999999999998</v>
      </c>
    </row>
    <row r="31" spans="3:20" x14ac:dyDescent="0.2">
      <c r="C31" s="117"/>
      <c r="D31" s="129"/>
      <c r="F31" s="39" t="s">
        <v>52</v>
      </c>
      <c r="G31" s="44">
        <f>G15</f>
        <v>2500</v>
      </c>
      <c r="H31" s="11">
        <f>G31/$G$34</f>
        <v>0.70422535211267601</v>
      </c>
      <c r="I31" s="48">
        <f>G22</f>
        <v>0.04</v>
      </c>
      <c r="J31" s="49">
        <f>H31*I31</f>
        <v>2.8169014084507039E-2</v>
      </c>
      <c r="K31" s="117"/>
      <c r="L31" s="129"/>
    </row>
    <row r="32" spans="3:20" x14ac:dyDescent="0.2">
      <c r="C32" s="117"/>
      <c r="D32" s="129"/>
      <c r="F32" s="39" t="s">
        <v>64</v>
      </c>
      <c r="G32" s="44">
        <f>G16</f>
        <v>200</v>
      </c>
      <c r="H32" s="46">
        <f>G32/$G$34</f>
        <v>5.6338028169014086E-2</v>
      </c>
      <c r="I32" s="48">
        <f>G21</f>
        <v>0.05</v>
      </c>
      <c r="J32" s="49">
        <f>H32*I32</f>
        <v>2.8169014084507044E-3</v>
      </c>
      <c r="K32" s="117"/>
      <c r="L32" s="129"/>
      <c r="N32" s="9" t="s">
        <v>32</v>
      </c>
    </row>
    <row r="33" spans="3:14" x14ac:dyDescent="0.2">
      <c r="C33" s="122"/>
      <c r="D33" s="134"/>
      <c r="F33" s="40" t="s">
        <v>66</v>
      </c>
      <c r="G33" s="43">
        <f>SUM(G31:G32)</f>
        <v>2700</v>
      </c>
      <c r="J33" s="50"/>
      <c r="K33" s="122"/>
      <c r="L33" s="134"/>
      <c r="N33" s="25">
        <f>O8</f>
        <v>2</v>
      </c>
    </row>
    <row r="34" spans="3:14" x14ac:dyDescent="0.2">
      <c r="C34" s="117"/>
      <c r="D34" s="129"/>
      <c r="F34" s="42" t="s">
        <v>54</v>
      </c>
      <c r="G34" s="43">
        <f>G30+G33</f>
        <v>3550</v>
      </c>
      <c r="H34" s="47">
        <f>SUM(H30:H32)</f>
        <v>1</v>
      </c>
      <c r="J34" s="51">
        <f>SUM(J30:J32)</f>
        <v>5.9718309859154932E-2</v>
      </c>
      <c r="K34" s="117"/>
      <c r="L34" s="129"/>
    </row>
    <row r="35" spans="3:14" x14ac:dyDescent="0.2">
      <c r="C35" s="117"/>
      <c r="D35" s="129"/>
      <c r="K35" s="117"/>
      <c r="L35" s="129"/>
    </row>
    <row r="36" spans="3:14" x14ac:dyDescent="0.2">
      <c r="C36" s="123"/>
      <c r="D36" s="135"/>
      <c r="K36" s="123"/>
      <c r="L36" s="135"/>
    </row>
    <row r="37" spans="3:14" x14ac:dyDescent="0.2">
      <c r="C37" s="115"/>
      <c r="D37" s="127"/>
      <c r="F37" t="s">
        <v>69</v>
      </c>
      <c r="K37" s="115"/>
      <c r="L37" s="127"/>
    </row>
    <row r="38" spans="3:14" x14ac:dyDescent="0.2">
      <c r="C38" s="124"/>
      <c r="D38" s="136"/>
      <c r="K38" s="124"/>
      <c r="L38" s="136"/>
    </row>
    <row r="39" spans="3:14" x14ac:dyDescent="0.2">
      <c r="C39" s="116"/>
      <c r="D39" s="128"/>
      <c r="F39" s="55" t="s">
        <v>70</v>
      </c>
      <c r="G39" s="138">
        <f>J34</f>
        <v>5.9718309859154932E-2</v>
      </c>
      <c r="K39" s="116"/>
      <c r="L39" s="128"/>
    </row>
    <row r="40" spans="3:14" x14ac:dyDescent="0.2">
      <c r="C40" s="125"/>
      <c r="D40" s="137"/>
      <c r="F40" s="4" t="s">
        <v>59</v>
      </c>
      <c r="G40" s="8">
        <v>0.2</v>
      </c>
      <c r="K40" s="125"/>
      <c r="L40" s="137"/>
    </row>
    <row r="41" spans="3:14" x14ac:dyDescent="0.2">
      <c r="C41" s="125"/>
      <c r="D41" s="137"/>
      <c r="F41" s="55" t="s">
        <v>71</v>
      </c>
      <c r="G41" s="139">
        <f>G39*(1-G40)</f>
        <v>4.7774647887323947E-2</v>
      </c>
      <c r="K41" s="125"/>
      <c r="L41" s="137"/>
    </row>
    <row r="44" spans="3:14" x14ac:dyDescent="0.2">
      <c r="F44" s="51">
        <f>0.12*(850/3550)+0.04*(2500/3550)+0.05*(200/3550)</f>
        <v>5.9718309859154932E-2</v>
      </c>
    </row>
    <row r="46" spans="3:14" x14ac:dyDescent="0.2">
      <c r="F46" t="s">
        <v>559</v>
      </c>
    </row>
    <row r="48" spans="3:14" x14ac:dyDescent="0.2">
      <c r="F48" s="167">
        <f>0.06*(1-0.2)</f>
        <v>4.8000000000000001E-2</v>
      </c>
    </row>
    <row r="50" spans="6:10" x14ac:dyDescent="0.2">
      <c r="F50" s="334" t="s">
        <v>568</v>
      </c>
      <c r="G50" s="334"/>
      <c r="H50" s="334"/>
      <c r="I50" s="334"/>
      <c r="J50" s="334"/>
    </row>
    <row r="51" spans="6:10" x14ac:dyDescent="0.2">
      <c r="F51" s="334" t="s">
        <v>569</v>
      </c>
      <c r="G51" s="334"/>
      <c r="H51" s="334"/>
      <c r="I51" s="334"/>
      <c r="J51" s="334"/>
    </row>
    <row r="52" spans="6:10" x14ac:dyDescent="0.2">
      <c r="F52" s="334" t="s">
        <v>570</v>
      </c>
      <c r="G52" s="334"/>
      <c r="H52" s="334"/>
      <c r="I52" s="334"/>
      <c r="J52" s="334"/>
    </row>
    <row r="53" spans="6:10" x14ac:dyDescent="0.2">
      <c r="F53" s="334" t="s">
        <v>571</v>
      </c>
      <c r="G53" s="334"/>
      <c r="H53" s="334"/>
      <c r="I53" s="334"/>
      <c r="J53" s="334"/>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2"/>
  <sheetViews>
    <sheetView zoomScaleNormal="100" workbookViewId="0">
      <selection activeCell="F22" sqref="F22"/>
    </sheetView>
  </sheetViews>
  <sheetFormatPr defaultColWidth="8.85546875" defaultRowHeight="12.75" x14ac:dyDescent="0.2"/>
  <cols>
    <col min="1" max="1" width="51.28515625" bestFit="1" customWidth="1"/>
    <col min="2" max="7" width="9.42578125" bestFit="1" customWidth="1"/>
    <col min="8" max="8" width="1.7109375" style="114" customWidth="1"/>
    <col min="9" max="9" width="1.7109375" style="126" customWidth="1"/>
    <col min="10" max="10" width="1.7109375" style="114" customWidth="1"/>
    <col min="11" max="11" width="29" bestFit="1" customWidth="1"/>
    <col min="14" max="14" width="9.28515625" customWidth="1"/>
    <col min="16" max="16" width="29" bestFit="1" customWidth="1"/>
    <col min="18" max="18" width="5.28515625" customWidth="1"/>
    <col min="19" max="19" width="1.7109375" style="114" customWidth="1"/>
    <col min="20" max="20" width="1.7109375" style="126" customWidth="1"/>
    <col min="21" max="21" width="1.7109375" style="114" customWidth="1"/>
    <col min="22" max="22" width="30.42578125" bestFit="1" customWidth="1"/>
  </cols>
  <sheetData>
    <row r="1" spans="1:28" ht="14.25" thickTop="1" thickBot="1" x14ac:dyDescent="0.25">
      <c r="A1" s="112" t="s">
        <v>242</v>
      </c>
      <c r="K1" s="112" t="s">
        <v>250</v>
      </c>
      <c r="M1" s="333" t="s">
        <v>575</v>
      </c>
      <c r="N1" s="333"/>
      <c r="O1" s="333"/>
      <c r="P1" s="335" t="s">
        <v>537</v>
      </c>
      <c r="V1" s="112" t="s">
        <v>336</v>
      </c>
    </row>
    <row r="2" spans="1:28" ht="13.5" thickTop="1" x14ac:dyDescent="0.2">
      <c r="M2" s="9" t="s">
        <v>270</v>
      </c>
      <c r="N2" s="9"/>
      <c r="O2" s="9"/>
    </row>
    <row r="3" spans="1:28" x14ac:dyDescent="0.2">
      <c r="A3" s="4" t="s">
        <v>112</v>
      </c>
      <c r="B3" s="4">
        <v>165</v>
      </c>
      <c r="H3" s="115"/>
      <c r="I3" s="127"/>
      <c r="K3" t="s">
        <v>251</v>
      </c>
      <c r="L3" s="3" t="s">
        <v>99</v>
      </c>
      <c r="M3" s="3" t="s">
        <v>131</v>
      </c>
      <c r="N3" s="3" t="s">
        <v>132</v>
      </c>
      <c r="O3" s="3" t="s">
        <v>133</v>
      </c>
      <c r="P3" s="56" t="s">
        <v>257</v>
      </c>
      <c r="Q3" s="152">
        <v>0.05</v>
      </c>
      <c r="S3" s="115"/>
      <c r="T3" s="127"/>
    </row>
    <row r="4" spans="1:28" x14ac:dyDescent="0.2">
      <c r="A4" s="4" t="s">
        <v>104</v>
      </c>
      <c r="B4" s="4">
        <v>20</v>
      </c>
      <c r="H4" s="116"/>
      <c r="I4" s="128"/>
      <c r="K4" t="s">
        <v>252</v>
      </c>
      <c r="L4" s="34">
        <v>1000</v>
      </c>
      <c r="M4" s="72">
        <f>(1+$Q$3)*L4</f>
        <v>1050</v>
      </c>
      <c r="N4" s="72">
        <f>(1+$Q$3)*M4</f>
        <v>1102.5</v>
      </c>
      <c r="O4" s="72">
        <f>(1+$Q$3)*N4</f>
        <v>1157.625</v>
      </c>
      <c r="P4" s="59" t="s">
        <v>258</v>
      </c>
      <c r="Q4" s="60">
        <v>0.85</v>
      </c>
      <c r="S4" s="116"/>
      <c r="T4" s="128"/>
      <c r="V4" t="s">
        <v>276</v>
      </c>
      <c r="W4">
        <v>15</v>
      </c>
    </row>
    <row r="5" spans="1:28" x14ac:dyDescent="0.2">
      <c r="A5" s="4" t="s">
        <v>129</v>
      </c>
      <c r="B5" s="4">
        <v>5</v>
      </c>
      <c r="H5" s="116"/>
      <c r="I5" s="128"/>
      <c r="K5" t="s">
        <v>253</v>
      </c>
      <c r="L5" s="3">
        <v>-850</v>
      </c>
      <c r="M5" s="72">
        <f>-(M4*$Q$4)</f>
        <v>-892.5</v>
      </c>
      <c r="N5" s="72">
        <f>-(N4*$Q$4)</f>
        <v>-937.125</v>
      </c>
      <c r="O5" s="72">
        <f>-(O4*$Q$4)</f>
        <v>-983.98124999999993</v>
      </c>
      <c r="P5" s="59" t="s">
        <v>259</v>
      </c>
      <c r="Q5" s="60">
        <v>0.05</v>
      </c>
      <c r="S5" s="116"/>
      <c r="T5" s="128"/>
      <c r="V5" t="s">
        <v>277</v>
      </c>
      <c r="W5">
        <v>3</v>
      </c>
    </row>
    <row r="6" spans="1:28" x14ac:dyDescent="0.2">
      <c r="A6" s="4" t="s">
        <v>236</v>
      </c>
      <c r="B6" s="4">
        <v>40</v>
      </c>
      <c r="H6" s="116"/>
      <c r="I6" s="128"/>
      <c r="K6" s="54" t="s">
        <v>103</v>
      </c>
      <c r="L6" s="86">
        <f>SUM(L4:L5)</f>
        <v>150</v>
      </c>
      <c r="M6" s="86">
        <f>SUM(M4:M5)</f>
        <v>157.5</v>
      </c>
      <c r="N6" s="86">
        <f>SUM(N4:N5)</f>
        <v>165.375</v>
      </c>
      <c r="O6" s="86">
        <f>SUM(O4:O5)</f>
        <v>173.64375000000007</v>
      </c>
      <c r="P6" s="59" t="s">
        <v>260</v>
      </c>
      <c r="Q6" s="60">
        <v>0.05</v>
      </c>
      <c r="S6" s="116"/>
      <c r="T6" s="128"/>
      <c r="V6" t="s">
        <v>273</v>
      </c>
      <c r="W6" s="1">
        <v>0.25</v>
      </c>
    </row>
    <row r="7" spans="1:28" x14ac:dyDescent="0.2">
      <c r="A7" s="4" t="s">
        <v>237</v>
      </c>
      <c r="B7" s="4">
        <v>10</v>
      </c>
      <c r="H7" s="116"/>
      <c r="I7" s="128"/>
      <c r="K7" t="s">
        <v>104</v>
      </c>
      <c r="L7" s="3">
        <v>-30</v>
      </c>
      <c r="M7" s="72">
        <f>L7*(1+$Q$5)</f>
        <v>-31.5</v>
      </c>
      <c r="N7" s="72">
        <f>M7*(1+$Q$5)</f>
        <v>-33.075000000000003</v>
      </c>
      <c r="O7" s="72">
        <f>N7*(1+$Q$5)</f>
        <v>-34.728750000000005</v>
      </c>
      <c r="P7" s="59" t="s">
        <v>261</v>
      </c>
      <c r="Q7" s="60">
        <v>0.1</v>
      </c>
      <c r="S7" s="116"/>
      <c r="T7" s="128"/>
      <c r="V7" s="220" t="s">
        <v>418</v>
      </c>
    </row>
    <row r="8" spans="1:28" x14ac:dyDescent="0.2">
      <c r="A8" s="4" t="s">
        <v>238</v>
      </c>
      <c r="B8" s="8">
        <v>0.5</v>
      </c>
      <c r="H8" s="116"/>
      <c r="I8" s="128"/>
      <c r="K8" s="54" t="s">
        <v>254</v>
      </c>
      <c r="L8" s="86">
        <f>SUM(L6:L7)</f>
        <v>120</v>
      </c>
      <c r="M8" s="86">
        <f>SUM(M6:M7)</f>
        <v>126</v>
      </c>
      <c r="N8" s="86">
        <f>SUM(N6:N7)</f>
        <v>132.30000000000001</v>
      </c>
      <c r="O8" s="86">
        <f>SUM(O6:O7)</f>
        <v>138.91500000000008</v>
      </c>
      <c r="P8" s="59" t="s">
        <v>262</v>
      </c>
      <c r="Q8" s="60">
        <v>0.05</v>
      </c>
      <c r="S8" s="116"/>
      <c r="T8" s="128"/>
      <c r="V8" t="s">
        <v>279</v>
      </c>
      <c r="W8">
        <f>W5/W4</f>
        <v>0.2</v>
      </c>
    </row>
    <row r="9" spans="1:28" x14ac:dyDescent="0.2">
      <c r="A9" s="4" t="s">
        <v>404</v>
      </c>
      <c r="B9" s="8">
        <v>0.2</v>
      </c>
      <c r="H9" s="116"/>
      <c r="I9" s="128"/>
      <c r="K9" s="220" t="s">
        <v>413</v>
      </c>
      <c r="L9" s="3">
        <f>-L8*$Q$9</f>
        <v>-24</v>
      </c>
      <c r="M9" s="72">
        <f>-M8*$Q$9</f>
        <v>-25.200000000000003</v>
      </c>
      <c r="N9" s="72">
        <f>-N8*$Q$9</f>
        <v>-26.460000000000004</v>
      </c>
      <c r="O9" s="72">
        <f>-O8*$Q$9</f>
        <v>-27.783000000000015</v>
      </c>
      <c r="P9" s="59" t="s">
        <v>263</v>
      </c>
      <c r="Q9" s="60">
        <v>0.2</v>
      </c>
      <c r="S9" s="116"/>
      <c r="T9" s="128"/>
      <c r="V9" t="s">
        <v>274</v>
      </c>
      <c r="W9" s="1">
        <v>1</v>
      </c>
    </row>
    <row r="10" spans="1:28" x14ac:dyDescent="0.2">
      <c r="A10" s="4" t="s">
        <v>239</v>
      </c>
      <c r="B10" s="4">
        <v>25</v>
      </c>
      <c r="H10" s="116"/>
      <c r="I10" s="128"/>
      <c r="K10" s="171" t="s">
        <v>414</v>
      </c>
      <c r="L10" s="157">
        <f>SUM(L8:L9)</f>
        <v>96</v>
      </c>
      <c r="M10" s="157">
        <f>M8+M9</f>
        <v>100.8</v>
      </c>
      <c r="N10" s="157">
        <f>N8+N9</f>
        <v>105.84</v>
      </c>
      <c r="O10" s="157">
        <f>O8+O9</f>
        <v>111.13200000000006</v>
      </c>
      <c r="P10" s="61" t="s">
        <v>264</v>
      </c>
      <c r="Q10" s="153">
        <v>0.03</v>
      </c>
      <c r="S10" s="116"/>
      <c r="T10" s="128"/>
      <c r="V10" t="s">
        <v>79</v>
      </c>
      <c r="W10" s="1">
        <v>0.11</v>
      </c>
    </row>
    <row r="11" spans="1:28" x14ac:dyDescent="0.2">
      <c r="A11" s="4" t="s">
        <v>240</v>
      </c>
      <c r="B11" s="8">
        <v>0.1</v>
      </c>
      <c r="L11" s="3"/>
      <c r="M11" s="158"/>
      <c r="N11" s="3"/>
      <c r="O11" s="151"/>
    </row>
    <row r="12" spans="1:28" x14ac:dyDescent="0.2">
      <c r="H12" s="115"/>
      <c r="I12" s="127"/>
      <c r="K12" t="s">
        <v>255</v>
      </c>
      <c r="L12" s="3" t="s">
        <v>99</v>
      </c>
      <c r="M12" s="3" t="s">
        <v>131</v>
      </c>
      <c r="N12" s="3" t="s">
        <v>132</v>
      </c>
      <c r="O12" s="3" t="s">
        <v>133</v>
      </c>
      <c r="S12" s="115"/>
      <c r="T12" s="127"/>
      <c r="V12" s="9" t="s">
        <v>275</v>
      </c>
    </row>
    <row r="13" spans="1:28" x14ac:dyDescent="0.2">
      <c r="A13" s="9" t="s">
        <v>518</v>
      </c>
      <c r="H13" s="117"/>
      <c r="I13" s="129"/>
      <c r="K13" t="s">
        <v>41</v>
      </c>
      <c r="L13" s="3"/>
      <c r="M13" s="3"/>
      <c r="N13" s="3"/>
      <c r="O13" s="3"/>
      <c r="S13" s="117"/>
      <c r="T13" s="129"/>
    </row>
    <row r="14" spans="1:28" x14ac:dyDescent="0.2">
      <c r="H14" s="117"/>
      <c r="I14" s="129"/>
      <c r="K14" s="54" t="s">
        <v>42</v>
      </c>
      <c r="L14" s="86">
        <v>150</v>
      </c>
      <c r="M14" s="86">
        <f>L14*(1+$Q$6)</f>
        <v>157.5</v>
      </c>
      <c r="N14" s="86">
        <f>M14*(1+$Q$6)</f>
        <v>165.375</v>
      </c>
      <c r="O14" s="86">
        <f t="shared" ref="M14:O16" si="0">N14*(1+$Q$6)</f>
        <v>173.64375000000001</v>
      </c>
      <c r="S14" s="117"/>
      <c r="T14" s="129"/>
      <c r="V14" s="150" t="s">
        <v>0</v>
      </c>
      <c r="W14" s="150">
        <v>1</v>
      </c>
      <c r="X14" s="150">
        <v>2</v>
      </c>
      <c r="Y14" s="150">
        <v>3</v>
      </c>
      <c r="Z14" s="150">
        <v>4</v>
      </c>
      <c r="AA14" s="150">
        <v>5</v>
      </c>
      <c r="AB14" s="3">
        <v>6</v>
      </c>
    </row>
    <row r="15" spans="1:28" x14ac:dyDescent="0.2">
      <c r="A15" t="s">
        <v>112</v>
      </c>
      <c r="B15">
        <f>B3</f>
        <v>165</v>
      </c>
      <c r="H15" s="117"/>
      <c r="I15" s="129"/>
      <c r="K15" t="s">
        <v>256</v>
      </c>
      <c r="L15" s="72">
        <v>450</v>
      </c>
      <c r="M15" s="72">
        <f t="shared" si="0"/>
        <v>472.5</v>
      </c>
      <c r="N15" s="72">
        <f t="shared" si="0"/>
        <v>496.125</v>
      </c>
      <c r="O15" s="72">
        <f t="shared" si="0"/>
        <v>520.93124999999998</v>
      </c>
      <c r="S15" s="117"/>
      <c r="T15" s="129"/>
      <c r="V15" t="s">
        <v>278</v>
      </c>
      <c r="W15" s="89">
        <f>W4*(1+$W$6)</f>
        <v>18.75</v>
      </c>
      <c r="X15" s="89">
        <f>W15*(1+$W$6)</f>
        <v>23.4375</v>
      </c>
      <c r="Y15" s="89">
        <f>X15*(1+$W$6)</f>
        <v>29.296875</v>
      </c>
      <c r="Z15" s="89">
        <f>Y15*(1+$W$6)</f>
        <v>36.62109375</v>
      </c>
      <c r="AA15" s="89">
        <f>Z15*(1+$W$6)</f>
        <v>45.7763671875</v>
      </c>
      <c r="AB15" s="89">
        <f>+AA15</f>
        <v>45.7763671875</v>
      </c>
    </row>
    <row r="16" spans="1:28" x14ac:dyDescent="0.2">
      <c r="A16" t="s">
        <v>104</v>
      </c>
      <c r="B16">
        <f>B4</f>
        <v>20</v>
      </c>
      <c r="H16" s="117"/>
      <c r="I16" s="129"/>
      <c r="K16" t="s">
        <v>45</v>
      </c>
      <c r="L16" s="72">
        <v>100</v>
      </c>
      <c r="M16" s="72">
        <f t="shared" si="0"/>
        <v>105</v>
      </c>
      <c r="N16" s="72">
        <f t="shared" si="0"/>
        <v>110.25</v>
      </c>
      <c r="O16" s="72">
        <f t="shared" si="0"/>
        <v>115.7625</v>
      </c>
      <c r="S16" s="117"/>
      <c r="T16" s="129"/>
      <c r="V16" t="s">
        <v>280</v>
      </c>
      <c r="W16" s="89">
        <f>$W$8*W15</f>
        <v>3.75</v>
      </c>
      <c r="X16" s="89">
        <f>$W$8*X15</f>
        <v>4.6875</v>
      </c>
      <c r="Y16" s="89">
        <f>$W$8*Y15</f>
        <v>5.859375</v>
      </c>
      <c r="Z16" s="89">
        <f>$W$8*Z15</f>
        <v>7.32421875</v>
      </c>
      <c r="AA16" s="89">
        <f>W8*AA15</f>
        <v>9.1552734375</v>
      </c>
      <c r="AB16" s="89">
        <f>+AB15*W9</f>
        <v>45.7763671875</v>
      </c>
    </row>
    <row r="17" spans="1:27" x14ac:dyDescent="0.2">
      <c r="A17" t="s">
        <v>234</v>
      </c>
      <c r="B17" s="89">
        <f>B5*(1-B9)</f>
        <v>4</v>
      </c>
      <c r="D17" s="343" t="s">
        <v>610</v>
      </c>
      <c r="E17" s="343"/>
      <c r="F17" s="343"/>
      <c r="H17" s="117"/>
      <c r="I17" s="129"/>
      <c r="K17" s="54" t="s">
        <v>46</v>
      </c>
      <c r="L17" s="86">
        <f>SUM(L15:L16)</f>
        <v>550</v>
      </c>
      <c r="M17" s="86">
        <f>SUM(M15:M16)</f>
        <v>577.5</v>
      </c>
      <c r="N17" s="86">
        <f>SUM(N15:N16)</f>
        <v>606.375</v>
      </c>
      <c r="O17" s="86">
        <f>SUM(O15:O16)</f>
        <v>636.69375000000002</v>
      </c>
      <c r="S17" s="117"/>
      <c r="T17" s="129"/>
      <c r="V17" t="s">
        <v>281</v>
      </c>
      <c r="W17" s="89">
        <f>W16/(1+$W$10)^W14</f>
        <v>3.3783783783783781</v>
      </c>
      <c r="X17" s="89">
        <f>X16/(1+$W$10)^X14</f>
        <v>3.8044801558315067</v>
      </c>
      <c r="Y17" s="89">
        <f>Y16/(1+$W$10)^Y14</f>
        <v>4.2843244998102552</v>
      </c>
      <c r="Z17" s="89">
        <f>Z16/(1+$W$10)^Z14</f>
        <v>4.8246897520385748</v>
      </c>
      <c r="AA17" s="89">
        <f>AA16/(1+$W$10)^AA14</f>
        <v>5.4332091802236206</v>
      </c>
    </row>
    <row r="18" spans="1:27" x14ac:dyDescent="0.2">
      <c r="A18" t="s">
        <v>237</v>
      </c>
      <c r="B18">
        <f>-B7</f>
        <v>-10</v>
      </c>
      <c r="H18" s="118"/>
      <c r="I18" s="130"/>
      <c r="K18" s="54" t="s">
        <v>47</v>
      </c>
      <c r="L18" s="86">
        <f>L14+L17</f>
        <v>700</v>
      </c>
      <c r="M18" s="86">
        <f>M14+M17</f>
        <v>735</v>
      </c>
      <c r="N18" s="86">
        <f>N14+N17</f>
        <v>771.75</v>
      </c>
      <c r="O18" s="86">
        <f>O14+O17</f>
        <v>810.33750000000009</v>
      </c>
      <c r="S18" s="118"/>
      <c r="T18" s="130"/>
      <c r="V18" s="54" t="s">
        <v>5</v>
      </c>
      <c r="W18" s="147">
        <f>SUM(W17:AA17)</f>
        <v>21.725081966282335</v>
      </c>
    </row>
    <row r="19" spans="1:27" x14ac:dyDescent="0.2">
      <c r="A19" s="171" t="s">
        <v>119</v>
      </c>
      <c r="B19" s="147">
        <f>SUM(B15:B18)</f>
        <v>179</v>
      </c>
      <c r="H19" s="119"/>
      <c r="I19" s="131"/>
      <c r="K19" t="s">
        <v>48</v>
      </c>
      <c r="L19" s="72"/>
      <c r="M19" s="72"/>
      <c r="N19" s="72"/>
      <c r="O19" s="72"/>
      <c r="S19" s="119"/>
      <c r="T19" s="131"/>
      <c r="V19" s="54" t="s">
        <v>606</v>
      </c>
      <c r="W19" s="147">
        <f>AA19/(1+W10)^AA14</f>
        <v>246.96405364652819</v>
      </c>
      <c r="AA19" s="89">
        <f>AA15/W10</f>
        <v>416.14879261363637</v>
      </c>
    </row>
    <row r="20" spans="1:27" x14ac:dyDescent="0.2">
      <c r="A20" t="s">
        <v>241</v>
      </c>
      <c r="B20">
        <f>-B6</f>
        <v>-40</v>
      </c>
      <c r="H20" s="120"/>
      <c r="I20" s="132"/>
      <c r="K20" s="54" t="s">
        <v>51</v>
      </c>
      <c r="L20" s="86">
        <v>200</v>
      </c>
      <c r="M20" s="86">
        <f t="shared" ref="M20:O21" si="1">L20*(1+$Q$6)</f>
        <v>210</v>
      </c>
      <c r="N20" s="86">
        <f t="shared" si="1"/>
        <v>220.5</v>
      </c>
      <c r="O20" s="86">
        <f t="shared" si="1"/>
        <v>231.52500000000001</v>
      </c>
      <c r="S20" s="120"/>
      <c r="T20" s="132"/>
    </row>
    <row r="21" spans="1:27" x14ac:dyDescent="0.2">
      <c r="A21" s="54" t="s">
        <v>405</v>
      </c>
      <c r="B21" s="147">
        <f>SUM(B19:B20)</f>
        <v>139</v>
      </c>
      <c r="H21" s="120"/>
      <c r="I21" s="132"/>
      <c r="K21" s="220" t="s">
        <v>188</v>
      </c>
      <c r="L21" s="72">
        <v>305</v>
      </c>
      <c r="M21" s="72">
        <f t="shared" si="1"/>
        <v>320.25</v>
      </c>
      <c r="N21" s="72">
        <f t="shared" si="1"/>
        <v>336.26249999999999</v>
      </c>
      <c r="O21" s="72">
        <f t="shared" si="1"/>
        <v>353.075625</v>
      </c>
      <c r="S21" s="120"/>
      <c r="T21" s="132"/>
      <c r="V21" s="38" t="s">
        <v>249</v>
      </c>
      <c r="W21" s="156">
        <f>W18+W19</f>
        <v>268.6891356128105</v>
      </c>
    </row>
    <row r="22" spans="1:27" x14ac:dyDescent="0.2">
      <c r="A22" t="s">
        <v>235</v>
      </c>
      <c r="B22">
        <f>(B6+B7)*(1-B8)</f>
        <v>25</v>
      </c>
      <c r="H22" s="120"/>
      <c r="I22" s="132"/>
      <c r="K22" s="220" t="s">
        <v>190</v>
      </c>
      <c r="L22" s="72">
        <v>195</v>
      </c>
      <c r="M22" s="72">
        <f>L22*(1+$Q$6)</f>
        <v>204.75</v>
      </c>
      <c r="N22" s="72">
        <f>M22*(1+$Q$6)</f>
        <v>214.98750000000001</v>
      </c>
      <c r="O22" s="72">
        <f>N22*(1+$Q$6)</f>
        <v>225.73687500000003</v>
      </c>
      <c r="S22" s="120"/>
      <c r="T22" s="132"/>
    </row>
    <row r="23" spans="1:27" x14ac:dyDescent="0.2">
      <c r="A23" t="str">
        <f>A17</f>
        <v>Räntekostnad efter skatt</v>
      </c>
      <c r="B23">
        <f>-B17</f>
        <v>-4</v>
      </c>
      <c r="K23" s="54" t="s">
        <v>53</v>
      </c>
      <c r="L23" s="86">
        <f>SUM(L21:L22)</f>
        <v>500</v>
      </c>
      <c r="M23" s="86">
        <f>SUM(M21:M22)</f>
        <v>525</v>
      </c>
      <c r="N23" s="86">
        <f>SUM(N21:N22)</f>
        <v>551.25</v>
      </c>
      <c r="O23" s="86">
        <f>SUM(O21:O22)</f>
        <v>578.8125</v>
      </c>
    </row>
    <row r="24" spans="1:27" x14ac:dyDescent="0.2">
      <c r="A24" s="54" t="s">
        <v>406</v>
      </c>
      <c r="B24" s="54">
        <f>SUM(B21:B23)</f>
        <v>160</v>
      </c>
      <c r="H24" s="115"/>
      <c r="I24" s="127"/>
      <c r="K24" s="54" t="s">
        <v>54</v>
      </c>
      <c r="L24" s="86">
        <f>L20+L23</f>
        <v>700</v>
      </c>
      <c r="M24" s="86">
        <f>M20+M23</f>
        <v>735</v>
      </c>
      <c r="N24" s="86">
        <f>N20+N23</f>
        <v>771.75</v>
      </c>
      <c r="O24" s="86">
        <f>O20+O23</f>
        <v>810.33749999999998</v>
      </c>
      <c r="Q24" s="72"/>
      <c r="S24" s="115"/>
      <c r="T24" s="127"/>
    </row>
    <row r="25" spans="1:27" x14ac:dyDescent="0.2">
      <c r="H25" s="120"/>
      <c r="I25" s="132"/>
      <c r="S25" s="120"/>
      <c r="T25" s="132"/>
    </row>
    <row r="26" spans="1:27" x14ac:dyDescent="0.2">
      <c r="A26" s="9" t="s">
        <v>243</v>
      </c>
      <c r="H26" s="121"/>
      <c r="I26" s="133"/>
      <c r="K26" s="9" t="s">
        <v>265</v>
      </c>
      <c r="Q26" s="89"/>
      <c r="S26" s="121"/>
      <c r="T26" s="133"/>
    </row>
    <row r="27" spans="1:27" x14ac:dyDescent="0.2">
      <c r="A27" s="145" t="s">
        <v>0</v>
      </c>
      <c r="B27" s="145">
        <v>1</v>
      </c>
      <c r="C27" s="145">
        <v>2</v>
      </c>
      <c r="D27" s="145">
        <v>3</v>
      </c>
      <c r="E27" s="145">
        <v>4</v>
      </c>
      <c r="F27" s="145">
        <v>5</v>
      </c>
      <c r="G27" s="145">
        <v>6</v>
      </c>
      <c r="H27" s="120"/>
      <c r="I27" s="132"/>
      <c r="M27" t="s">
        <v>62</v>
      </c>
      <c r="N27" t="s">
        <v>63</v>
      </c>
      <c r="O27" t="s">
        <v>266</v>
      </c>
      <c r="S27" s="120"/>
      <c r="T27" s="132"/>
    </row>
    <row r="28" spans="1:27" x14ac:dyDescent="0.2">
      <c r="A28" t="s">
        <v>244</v>
      </c>
      <c r="B28" s="1">
        <v>0.2</v>
      </c>
      <c r="C28" s="1">
        <v>0.2</v>
      </c>
      <c r="D28" s="1">
        <v>0.2</v>
      </c>
      <c r="E28" s="1">
        <v>0.1</v>
      </c>
      <c r="F28" s="1">
        <v>0.1</v>
      </c>
      <c r="G28" s="1">
        <v>0.1</v>
      </c>
      <c r="H28" s="120"/>
      <c r="I28" s="132"/>
      <c r="K28" t="s">
        <v>102</v>
      </c>
      <c r="L28" s="12"/>
      <c r="M28" s="13">
        <v>0.8</v>
      </c>
      <c r="N28" s="1">
        <f>Q7</f>
        <v>0.1</v>
      </c>
      <c r="O28" s="50">
        <f>M28*N28</f>
        <v>8.0000000000000016E-2</v>
      </c>
      <c r="S28" s="120"/>
      <c r="T28" s="132"/>
    </row>
    <row r="29" spans="1:27" x14ac:dyDescent="0.2">
      <c r="A29" t="s">
        <v>406</v>
      </c>
      <c r="B29" s="89">
        <f>B24*(1+B28)</f>
        <v>192</v>
      </c>
      <c r="C29" s="89">
        <f>B29*(1+C28)</f>
        <v>230.39999999999998</v>
      </c>
      <c r="D29" s="89">
        <f>C29*(1+D28)</f>
        <v>276.47999999999996</v>
      </c>
      <c r="E29" s="89">
        <f>D29*(1+E28)</f>
        <v>304.12799999999999</v>
      </c>
      <c r="F29" s="89">
        <f>E29*(1+F28)</f>
        <v>334.54079999999999</v>
      </c>
      <c r="G29" s="89">
        <f>F29*(1+G28)</f>
        <v>367.99488000000002</v>
      </c>
      <c r="K29" t="s">
        <v>211</v>
      </c>
      <c r="L29" s="12"/>
      <c r="M29" s="13">
        <v>0.2</v>
      </c>
      <c r="N29" s="1">
        <f>Q8*(1-Q9)</f>
        <v>4.0000000000000008E-2</v>
      </c>
      <c r="O29" s="50">
        <f>M29*N29</f>
        <v>8.0000000000000019E-3</v>
      </c>
    </row>
    <row r="30" spans="1:27" x14ac:dyDescent="0.2">
      <c r="A30" t="s">
        <v>4</v>
      </c>
      <c r="B30" s="89">
        <f t="shared" ref="B30:G30" si="2">B29/(1+$B$11)^B27</f>
        <v>174.54545454545453</v>
      </c>
      <c r="C30" s="89">
        <f t="shared" si="2"/>
        <v>190.41322314049583</v>
      </c>
      <c r="D30" s="89">
        <f t="shared" si="2"/>
        <v>207.72351615326812</v>
      </c>
      <c r="E30" s="89">
        <f t="shared" si="2"/>
        <v>207.72351615326815</v>
      </c>
      <c r="F30" s="89">
        <f t="shared" si="2"/>
        <v>207.72351615326815</v>
      </c>
      <c r="G30" s="89">
        <f t="shared" si="2"/>
        <v>207.72351615326812</v>
      </c>
      <c r="H30" s="115"/>
      <c r="I30" s="127"/>
      <c r="N30" s="54" t="s">
        <v>164</v>
      </c>
      <c r="O30" s="146">
        <f>SUM(O28:O29)</f>
        <v>8.8000000000000023E-2</v>
      </c>
      <c r="P30" s="9"/>
      <c r="S30" s="115"/>
      <c r="T30" s="127"/>
    </row>
    <row r="31" spans="1:27" x14ac:dyDescent="0.2">
      <c r="A31" t="s">
        <v>245</v>
      </c>
      <c r="B31" s="14">
        <f>SUM(B30:G30)</f>
        <v>1195.852742299023</v>
      </c>
      <c r="H31" s="117"/>
      <c r="I31" s="129"/>
      <c r="S31" s="117"/>
      <c r="T31" s="129"/>
    </row>
    <row r="32" spans="1:27" x14ac:dyDescent="0.2">
      <c r="H32" s="117"/>
      <c r="I32" s="129"/>
      <c r="S32" s="117"/>
      <c r="T32" s="129"/>
    </row>
    <row r="33" spans="1:20" x14ac:dyDescent="0.2">
      <c r="A33" t="s">
        <v>246</v>
      </c>
      <c r="B33" s="1">
        <v>0.04</v>
      </c>
      <c r="D33" s="12">
        <f>+G29/0.06</f>
        <v>6133.2480000000005</v>
      </c>
      <c r="H33" s="122"/>
      <c r="I33" s="134"/>
      <c r="K33" s="9" t="s">
        <v>529</v>
      </c>
      <c r="S33" s="122"/>
      <c r="T33" s="134"/>
    </row>
    <row r="34" spans="1:20" x14ac:dyDescent="0.2">
      <c r="A34" t="s">
        <v>247</v>
      </c>
      <c r="B34" s="12">
        <f>((G29*(1+B33))/(B11-B33))/((1+B11)^G27)</f>
        <v>3600.540946656648</v>
      </c>
      <c r="D34" s="12">
        <f>+D33/1.1^5</f>
        <v>3808.2644628099165</v>
      </c>
      <c r="H34" s="117"/>
      <c r="I34" s="129"/>
      <c r="K34" s="150" t="s">
        <v>0</v>
      </c>
      <c r="L34" s="54"/>
      <c r="M34" s="154">
        <v>1</v>
      </c>
      <c r="N34" s="154">
        <v>2</v>
      </c>
      <c r="O34" s="154">
        <v>3</v>
      </c>
      <c r="S34" s="117"/>
      <c r="T34" s="129"/>
    </row>
    <row r="35" spans="1:20" x14ac:dyDescent="0.2">
      <c r="D35" s="12">
        <f>+D34+SUM(B30:F30)</f>
        <v>4796.3936889556717</v>
      </c>
      <c r="H35" s="117"/>
      <c r="I35" s="129"/>
      <c r="K35" t="s">
        <v>112</v>
      </c>
      <c r="M35" s="149">
        <f>M10</f>
        <v>100.8</v>
      </c>
      <c r="N35" s="149">
        <f>N10</f>
        <v>105.84</v>
      </c>
      <c r="O35" s="149">
        <f>O10</f>
        <v>111.13200000000006</v>
      </c>
      <c r="P35" s="9"/>
      <c r="S35" s="117"/>
      <c r="T35" s="129"/>
    </row>
    <row r="36" spans="1:20" x14ac:dyDescent="0.2">
      <c r="A36" t="s">
        <v>248</v>
      </c>
      <c r="B36" s="14">
        <f>B31+B34</f>
        <v>4796.3936889556708</v>
      </c>
      <c r="H36" s="123"/>
      <c r="I36" s="135"/>
      <c r="K36" s="85" t="s">
        <v>116</v>
      </c>
      <c r="M36" s="149">
        <f>-M7</f>
        <v>31.5</v>
      </c>
      <c r="N36" s="149">
        <f>-N7</f>
        <v>33.075000000000003</v>
      </c>
      <c r="O36" s="149">
        <f>-O7</f>
        <v>34.728750000000005</v>
      </c>
      <c r="S36" s="123"/>
      <c r="T36" s="135"/>
    </row>
    <row r="37" spans="1:20" x14ac:dyDescent="0.2">
      <c r="A37" t="s">
        <v>249</v>
      </c>
      <c r="B37" s="89">
        <f>B36/B10</f>
        <v>191.85574755822682</v>
      </c>
      <c r="H37" s="115"/>
      <c r="I37" s="127"/>
      <c r="K37" s="85" t="s">
        <v>267</v>
      </c>
      <c r="M37" s="149">
        <f>-(M16-L16)</f>
        <v>-5</v>
      </c>
      <c r="N37" s="149">
        <f>-(N16-M16)</f>
        <v>-5.25</v>
      </c>
      <c r="O37" s="149">
        <f>-(O16-N16)</f>
        <v>-5.5125000000000028</v>
      </c>
      <c r="S37" s="115"/>
      <c r="T37" s="127"/>
    </row>
    <row r="38" spans="1:20" x14ac:dyDescent="0.2">
      <c r="H38" s="124"/>
      <c r="I38" s="136"/>
      <c r="K38" s="85" t="s">
        <v>268</v>
      </c>
      <c r="M38" s="149">
        <f>-(M15-L15)</f>
        <v>-22.5</v>
      </c>
      <c r="N38" s="149">
        <f>-(N15-M15)</f>
        <v>-23.625</v>
      </c>
      <c r="O38" s="149">
        <f>-(O15-N15)</f>
        <v>-24.806249999999977</v>
      </c>
      <c r="P38" s="9"/>
      <c r="S38" s="124"/>
      <c r="T38" s="136"/>
    </row>
    <row r="39" spans="1:20" x14ac:dyDescent="0.2">
      <c r="A39" s="155" t="s">
        <v>407</v>
      </c>
      <c r="H39" s="116"/>
      <c r="I39" s="128"/>
      <c r="K39" s="85" t="s">
        <v>269</v>
      </c>
      <c r="M39" s="149">
        <f>(M22-L22)</f>
        <v>9.75</v>
      </c>
      <c r="N39" s="149">
        <f>(N22-M22)</f>
        <v>10.237500000000011</v>
      </c>
      <c r="O39" s="149">
        <f>(O22-N22)</f>
        <v>10.749375000000015</v>
      </c>
      <c r="S39" s="116"/>
      <c r="T39" s="128"/>
    </row>
    <row r="40" spans="1:20" x14ac:dyDescent="0.2">
      <c r="A40" s="155" t="s">
        <v>408</v>
      </c>
      <c r="H40" s="125"/>
      <c r="I40" s="137"/>
      <c r="K40" s="54" t="s">
        <v>119</v>
      </c>
      <c r="L40" s="54"/>
      <c r="M40" s="148">
        <f>SUM(M35:M39)</f>
        <v>114.55000000000001</v>
      </c>
      <c r="N40" s="148">
        <f>SUM(N35:N39)</f>
        <v>120.27750000000003</v>
      </c>
      <c r="O40" s="148">
        <f>SUM(O35:O39)</f>
        <v>126.2913750000001</v>
      </c>
      <c r="P40" s="9"/>
      <c r="S40" s="125"/>
      <c r="T40" s="137"/>
    </row>
    <row r="41" spans="1:20" x14ac:dyDescent="0.2">
      <c r="H41" s="125"/>
      <c r="I41" s="137"/>
      <c r="K41" s="85" t="s">
        <v>165</v>
      </c>
      <c r="M41" s="149">
        <f>-((M14-L14)-M7)</f>
        <v>-39</v>
      </c>
      <c r="N41" s="149">
        <f>-((N14-M14)-N7)</f>
        <v>-40.950000000000003</v>
      </c>
      <c r="O41" s="149">
        <f>-((O14-N14)-O7)</f>
        <v>-42.997500000000016</v>
      </c>
      <c r="S41" s="125"/>
      <c r="T41" s="137"/>
    </row>
    <row r="42" spans="1:20" x14ac:dyDescent="0.2">
      <c r="A42" s="220" t="s">
        <v>409</v>
      </c>
      <c r="B42" s="14">
        <f>+G29/(B11-B33)/(1+B11)^5</f>
        <v>3808.2644628099156</v>
      </c>
      <c r="K42" s="54" t="s">
        <v>405</v>
      </c>
      <c r="L42" s="54"/>
      <c r="M42" s="148">
        <f>SUM(M40:M41)</f>
        <v>75.550000000000011</v>
      </c>
      <c r="N42" s="148">
        <f>SUM(N40:N41)</f>
        <v>79.327500000000029</v>
      </c>
      <c r="O42" s="148">
        <f>SUM(O40:O41)</f>
        <v>83.293875000000085</v>
      </c>
      <c r="P42" s="9"/>
    </row>
    <row r="43" spans="1:20" x14ac:dyDescent="0.2">
      <c r="A43" s="220" t="s">
        <v>410</v>
      </c>
      <c r="B43" s="14">
        <f>+SUM(B30:F30)</f>
        <v>988.12922614575484</v>
      </c>
    </row>
    <row r="44" spans="1:20" x14ac:dyDescent="0.2">
      <c r="A44" s="220" t="s">
        <v>411</v>
      </c>
      <c r="B44" s="14">
        <f>+B42+B43</f>
        <v>4796.3936889556708</v>
      </c>
    </row>
    <row r="45" spans="1:20" x14ac:dyDescent="0.2">
      <c r="A45" s="220" t="s">
        <v>249</v>
      </c>
      <c r="B45" s="14">
        <f>+B44/B10</f>
        <v>191.85574755822682</v>
      </c>
      <c r="C45" s="220" t="s">
        <v>412</v>
      </c>
      <c r="K45" s="9" t="s">
        <v>271</v>
      </c>
    </row>
    <row r="47" spans="1:20" x14ac:dyDescent="0.2">
      <c r="K47" s="54" t="s">
        <v>521</v>
      </c>
      <c r="L47" s="54"/>
      <c r="M47" s="147">
        <f>M42/(1+$O$30)^M34</f>
        <v>69.43933823529413</v>
      </c>
      <c r="N47" s="147">
        <f>N42/(1+$O$30)^N34</f>
        <v>67.014067230752616</v>
      </c>
      <c r="O47" s="147">
        <f>O42/(1+$O$30)^O34</f>
        <v>64.673502382619745</v>
      </c>
      <c r="P47" s="9"/>
    </row>
    <row r="48" spans="1:20" x14ac:dyDescent="0.2">
      <c r="K48" t="s">
        <v>5</v>
      </c>
      <c r="L48" s="89">
        <f>SUM(M47:O47)</f>
        <v>201.12690784866649</v>
      </c>
      <c r="P48" s="9"/>
    </row>
    <row r="49" spans="11:16" x14ac:dyDescent="0.2">
      <c r="K49" t="s">
        <v>530</v>
      </c>
      <c r="L49" s="12">
        <f>((O42*(1+Q10))/(O30-Q10))/(1+O30)^O34</f>
        <v>1148.5121974844537</v>
      </c>
      <c r="O49" s="220" t="s">
        <v>531</v>
      </c>
    </row>
    <row r="50" spans="11:16" x14ac:dyDescent="0.2">
      <c r="K50" s="54" t="s">
        <v>160</v>
      </c>
      <c r="L50" s="90">
        <f>L48+L49</f>
        <v>1349.6391053331201</v>
      </c>
      <c r="O50" s="220" t="s">
        <v>344</v>
      </c>
      <c r="P50" s="12">
        <f>((O42*(1+Q10))/(O30-Q10))</f>
        <v>1479.1843318965527</v>
      </c>
    </row>
    <row r="51" spans="11:16" x14ac:dyDescent="0.2">
      <c r="K51" t="s">
        <v>159</v>
      </c>
      <c r="L51" s="12">
        <f>L21</f>
        <v>305</v>
      </c>
      <c r="O51" s="220" t="s">
        <v>346</v>
      </c>
      <c r="P51" s="12">
        <f>P50/(1+O30)^O34</f>
        <v>1148.5121974844537</v>
      </c>
    </row>
    <row r="52" spans="11:16" x14ac:dyDescent="0.2">
      <c r="K52" s="54" t="s">
        <v>154</v>
      </c>
      <c r="L52" s="90">
        <f>L50-L51</f>
        <v>1044.6391053331201</v>
      </c>
      <c r="P52" s="9"/>
    </row>
    <row r="55" spans="11:16" x14ac:dyDescent="0.2">
      <c r="K55" s="155" t="s">
        <v>415</v>
      </c>
    </row>
    <row r="56" spans="11:16" x14ac:dyDescent="0.2">
      <c r="K56" s="155" t="s">
        <v>416</v>
      </c>
    </row>
    <row r="58" spans="11:16" x14ac:dyDescent="0.2">
      <c r="K58" s="223" t="s">
        <v>417</v>
      </c>
      <c r="L58" s="224">
        <f>+SUM(M47:N47)</f>
        <v>136.45340546604675</v>
      </c>
    </row>
    <row r="59" spans="11:16" x14ac:dyDescent="0.2">
      <c r="K59" t="s">
        <v>530</v>
      </c>
      <c r="L59" s="89">
        <f>+O42/(O30-Q10)/(1+O30)^N34</f>
        <v>1213.1856998670733</v>
      </c>
    </row>
    <row r="60" spans="11:16" x14ac:dyDescent="0.2">
      <c r="K60" s="221" t="s">
        <v>160</v>
      </c>
      <c r="L60" s="222">
        <f>+L58+L59</f>
        <v>1349.6391053331199</v>
      </c>
    </row>
    <row r="61" spans="11:16" x14ac:dyDescent="0.2">
      <c r="K61" s="171" t="s">
        <v>159</v>
      </c>
      <c r="L61" s="90">
        <f>+L51</f>
        <v>305</v>
      </c>
    </row>
    <row r="62" spans="11:16" x14ac:dyDescent="0.2">
      <c r="K62" s="221" t="s">
        <v>154</v>
      </c>
      <c r="L62" s="225">
        <f>+L60-L61</f>
        <v>1044.6391053331199</v>
      </c>
    </row>
  </sheetData>
  <phoneticPr fontId="0" type="noConversion"/>
  <hyperlinks>
    <hyperlink ref="P1" r:id="rId1" xr:uid="{1B821F6E-474F-48A6-80C4-F51DBEC62B6A}"/>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Innehåll</vt:lpstr>
      <vt:lpstr>kap 3</vt:lpstr>
      <vt:lpstr>kap 4</vt:lpstr>
      <vt:lpstr>kap 6</vt:lpstr>
      <vt:lpstr>kap 7</vt:lpstr>
      <vt:lpstr>7.2</vt:lpstr>
      <vt:lpstr>7.3 GPB</vt:lpstr>
      <vt:lpstr>Kap 9</vt:lpstr>
      <vt:lpstr>Kap 10</vt:lpstr>
      <vt:lpstr>Kap 11</vt:lpstr>
      <vt:lpstr>kap 12</vt:lpstr>
      <vt:lpstr>Sammanfattning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Isaksson</dc:creator>
  <cp:lastModifiedBy>Fritjof Janson</cp:lastModifiedBy>
  <cp:lastPrinted>2001-03-08T11:23:16Z</cp:lastPrinted>
  <dcterms:created xsi:type="dcterms:W3CDTF">2001-03-06T22:34:27Z</dcterms:created>
  <dcterms:modified xsi:type="dcterms:W3CDTF">2023-11-13T10:30:10Z</dcterms:modified>
</cp:coreProperties>
</file>